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2007" sheetId="6" r:id="rId6"/>
    <sheet name="POS FIN" sheetId="7" r:id="rId7"/>
    <sheet name="DIFF_CAMBIO" sheetId="8" state="hidden" r:id="rId8"/>
    <sheet name="Cash flow" sheetId="9" r:id="rId9"/>
  </sheets>
  <definedNames>
    <definedName name="_xlnm.Print_Area" localSheetId="5">'CE IAS 2007'!$A$2:$D$41</definedName>
    <definedName name="_xlnm.Print_Area" localSheetId="1">'PASSIVO-PROFORMA'!$A$1:$M$105</definedName>
    <definedName name="_xlnm.Print_Area" localSheetId="6">'POS FIN'!$A$1:$E$35</definedName>
    <definedName name="_xlnm.Print_Area" localSheetId="3">'SP ATT IAS'!$A$1:$D$36</definedName>
    <definedName name="_xlnm.Print_Area" localSheetId="4">'SP PAS IAS '!$A$1:$D$33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<sst xmlns="http://schemas.openxmlformats.org/spreadsheetml/2006/main" count="588" uniqueCount="418">
  <si>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</si>
  <si>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</si>
  <si>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</si>
  <si>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</si>
  <si>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</si>
  <si>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</si>
  <si>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</si>
  <si>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</si>
  <si>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</si>
  <si>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</si>
  <si>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</si>
  <si>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</si>
  <si>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</si>
  <si>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</si>
  <si>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</si>
  <si>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</si>
  <si>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</si>
  <si>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</si>
  <si>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</si>
  <si>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</si>
  <si>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</si>
  <si>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</si>
  <si>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</si>
  <si>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</si>
  <si>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</si>
  <si>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</si>
  <si>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</si>
  <si>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</si>
  <si>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</si>
  <si>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</si>
  <si>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</si>
  <si>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</si>
  <si>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</si>
  <si>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</si>
  <si>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</si>
  <si>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</si>
  <si>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</si>
  <si>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</si>
  <si>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</si>
  <si>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</si>
  <si>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</si>
  <si>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</si>
  <si>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</si>
  <si>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</si>
  <si>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</si>
  <si>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</si>
  <si>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</si>
  <si>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</si>
  <si>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</si>
  <si>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</si>
  <si>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</si>
  <si>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</si>
  <si>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</si>
  <si>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</si>
  <si>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</si>
  <si>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</si>
  <si>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</si>
  <si>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</si>
  <si>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</si>
  <si>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</si>
  <si>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</si>
  <si>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</si>
  <si>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</si>
  <si>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</si>
  <si>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</si>
  <si>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</si>
  <si>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</si>
  <si>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</si>
  <si>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</si>
  <si>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</si>
  <si>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</si>
  <si>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</si>
  <si>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</si>
  <si>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</si>
  <si>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</si>
  <si>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</si>
  <si>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</si>
  <si>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</si>
  <si>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</si>
  <si>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</si>
  <si>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</si>
  <si>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</si>
  <si>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</si>
  <si>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</si>
  <si>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</si>
  <si>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</si>
  <si>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</si>
  <si>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</si>
  <si>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</si>
  <si>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</si>
  <si>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</si>
  <si>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</si>
  <si>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</si>
  <si>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</si>
  <si>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</si>
  <si>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</si>
  <si>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</si>
  <si>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</si>
  <si>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</si>
  <si>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</si>
  <si>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</si>
  <si>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</si>
  <si>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</si>
  <si>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</si>
  <si>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</si>
  <si>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</si>
  <si>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</si>
  <si>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</si>
  <si>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</si>
  <si>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</si>
  <si>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</si>
  <si>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</si>
  <si>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</si>
  <si>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</si>
  <si>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</si>
  <si>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</si>
  <si>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</si>
  <si>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</si>
  <si>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</si>
  <si>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</si>
  <si>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</si>
  <si>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</si>
  <si>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</si>
  <si>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</si>
  <si>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</si>
  <si>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</si>
  <si>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</si>
  <si>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</si>
  <si>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</si>
  <si>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</si>
  <si>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</si>
  <si>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</si>
  <si>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</si>
  <si>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</si>
  <si>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</si>
  <si>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</si>
  <si>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</si>
  <si>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</si>
  <si>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</si>
  <si>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</si>
  <si>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</si>
  <si>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</si>
  <si>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</si>
  <si>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</si>
  <si>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</si>
  <si>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</si>
  <si>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</si>
  <si>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</si>
  <si>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</si>
  <si>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</si>
  <si>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</si>
  <si>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</si>
  <si>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</si>
  <si>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</si>
  <si>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</si>
  <si>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</si>
  <si>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</si>
  <si>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</si>
  <si>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</si>
  <si>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</si>
  <si>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</si>
  <si>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</si>
  <si>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</si>
  <si>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</si>
  <si>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</si>
  <si>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</si>
  <si>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</si>
  <si>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</si>
  <si>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</si>
  <si>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</si>
  <si>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</si>
  <si>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</si>
  <si>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</si>
  <si>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</si>
  <si>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</si>
  <si>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</si>
  <si>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</si>
  <si>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</si>
  <si>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</si>
  <si>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</si>
  <si>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</si>
  <si>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</si>
  <si>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</si>
  <si>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</si>
  <si>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</si>
  <si>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</si>
  <si>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</si>
  <si>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</si>
  <si>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</si>
  <si>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</si>
  <si>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</si>
  <si>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</si>
  <si>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</si>
  <si>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</si>
  <si>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</si>
  <si>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</si>
  <si>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</si>
  <si>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</si>
  <si>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</si>
  <si>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</si>
  <si>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</si>
  <si>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</si>
  <si>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</si>
  <si>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</si>
  <si>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</si>
  <si>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</si>
  <si>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</si>
  <si>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</si>
  <si>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</si>
  <si>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</si>
  <si>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</si>
  <si>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</si>
  <si>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</si>
  <si>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</si>
  <si>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</si>
  <si>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</si>
  <si>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</si>
  <si>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</si>
  <si>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</si>
  <si>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</si>
  <si>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</si>
  <si>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</si>
  <si>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</si>
  <si>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</si>
  <si>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</si>
  <si>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</si>
  <si>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</si>
  <si>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</si>
  <si>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</si>
  <si>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</si>
  <si>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</si>
  <si>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</si>
  <si>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</si>
  <si>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</si>
  <si>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</si>
  <si>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</si>
  <si>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</si>
  <si>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</si>
  <si>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</si>
  <si>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</si>
  <si>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</si>
  <si>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</si>
  <si>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</si>
  <si>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</si>
  <si>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</si>
  <si>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</si>
  <si>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</si>
  <si>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</si>
  <si>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</si>
  <si>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</si>
  <si>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</si>
  <si>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</si>
  <si>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</si>
  <si>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</si>
  <si>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</si>
  <si>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</si>
  <si>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</si>
  <si>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</si>
  <si>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</si>
  <si>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</si>
  <si>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</si>
  <si>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Stato Patrimoniale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</si>
  <si>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</si>
  <si>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</si>
  <si>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</si>
  <si>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</si>
  <si>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</si>
  <si>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</si>
  <si>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</si>
  <si>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</si>
  <si>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</si>
  <si>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</si>
  <si>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</si>
  <si>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</si>
  <si>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</si>
  <si>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</si>
  <si>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</si>
  <si>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</si>
  <si>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materiali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</si>
  <si>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</si>
  <si>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</si>
  <si>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</si>
  <si>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</si>
  <si>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</si>
  <si>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</si>
  <si>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</si>
  <si>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</si>
  <si>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</si>
  <si>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</si>
  <si>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</si>
  <si>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</si>
  <si>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</si>
  <si>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</si>
  <si>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</si>
  <si>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</si>
  <si>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</si>
  <si>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</si>
  <si>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</si>
  <si>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</si>
  <si>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</si>
  <si>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</si>
  <si>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</si>
  <si>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</si>
  <si>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</si>
  <si>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</si>
  <si>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</si>
  <si>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</si>
  <si>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</si>
  <si>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</si>
  <si>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</si>
  <si>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</si>
  <si>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</si>
  <si>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</si>
  <si>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</si>
  <si>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</si>
  <si>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</si>
  <si>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</si>
  <si>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</si>
  <si>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</si>
  <si>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</si>
  <si>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</si>
  <si>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</si>
  <si>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</si>
  <si>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</si>
  <si>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Prestito obbligazionario</t>
  </si>
  <si>
    <t>Disponibilità</t>
  </si>
  <si>
    <t>Posizione finanziaria netta</t>
  </si>
  <si>
    <t>Debiti finanziari a medio/lungo termine:</t>
  </si>
  <si>
    <t>Debiti per leasing</t>
  </si>
  <si>
    <t>Finanziamenti bancari a medio/lungo termine</t>
  </si>
  <si>
    <t>Debiti verso altri finanziatori</t>
  </si>
  <si>
    <t xml:space="preserve">Totale </t>
  </si>
  <si>
    <t>Debiti finanziari a breve:</t>
  </si>
  <si>
    <t>Scoperti di conto corrente</t>
  </si>
  <si>
    <t>Debiti di conto corrente</t>
  </si>
  <si>
    <t>Debiti verso società di factoring</t>
  </si>
  <si>
    <t>Finanziamenti bancari</t>
  </si>
  <si>
    <t>Crediti finanziari verso terzi</t>
  </si>
  <si>
    <t>Crediti finanziari verso collegate</t>
  </si>
  <si>
    <t>Totale Posizione finanziaria netta</t>
  </si>
  <si>
    <t>Debiti verso imprese controllanti</t>
  </si>
  <si>
    <t>Altre attività finanziarie correnti</t>
  </si>
  <si>
    <t>Titoli</t>
  </si>
  <si>
    <t>di cui verso parti correlate</t>
  </si>
  <si>
    <t>di cui per operazioni non ricorrenti</t>
  </si>
  <si>
    <t>Altri debiti a lungo termine</t>
  </si>
  <si>
    <t>31 dicembre 2006</t>
  </si>
  <si>
    <t>Strumenti Aprilia</t>
  </si>
  <si>
    <t>Importi in €/000</t>
  </si>
  <si>
    <t xml:space="preserve">Crediti Commerciali </t>
  </si>
  <si>
    <t>Altri crediti</t>
  </si>
  <si>
    <t>31 dicembre 2007</t>
  </si>
  <si>
    <t>Posizione finanziaria netta consolidata / (Indebitamento finanziario netto)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</si>
  <si>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</si>
  <si>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</si>
  <si>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</si>
  <si>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</si>
  <si>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</si>
  <si>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</si>
  <si>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</si>
  <si>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</si>
  <si>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</si>
  <si>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</si>
  <si>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Obbligazioni</t>
  </si>
  <si>
    <t xml:space="preserve">Indebitamento finanziario non corrente </t>
  </si>
  <si>
    <t>INDEBITAMENTO FINANZIARIO NETTO</t>
  </si>
  <si>
    <t>Al 31 dicembre 2007</t>
  </si>
  <si>
    <t>Al 31 dicembre 2006</t>
  </si>
  <si>
    <t>Attività operative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</si>
  <si>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</si>
  <si>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</si>
  <si>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</si>
  <si>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</si>
  <si>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</si>
  <si>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</si>
  <si>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</si>
  <si>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</si>
  <si>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</si>
  <si>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</si>
  <si>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</si>
  <si>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</si>
  <si>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</si>
  <si>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>(Aumento)/Diminuzione altri crediti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</si>
  <si>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</si>
  <si>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</si>
  <si>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</si>
  <si>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</si>
  <si>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</si>
  <si>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</si>
  <si>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</si>
  <si>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</si>
  <si>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</si>
  <si>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</si>
  <si>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</si>
  <si>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</si>
  <si>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</si>
  <si>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</si>
  <si>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Investimento in partecipazioni non consolidate</t>
  </si>
  <si>
    <t>Prezzo di realizzo, o valore di rimborso, di attivita’  immateriali</t>
  </si>
  <si>
    <t>Prezzo di realizzo di partecipazioni/attività finanziarie</t>
  </si>
  <si>
    <t>Finanziamenti erogati</t>
  </si>
  <si>
    <t>Acquisto attività finanziarie</t>
  </si>
  <si>
    <t>Interessi incassati</t>
  </si>
  <si>
    <t>Prezzo di realizzo attività destinate alla dismissione</t>
  </si>
  <si>
    <t>Flusso di cassa delle attività d'investimento (B)</t>
  </si>
  <si>
    <t>Attività di finanziamento</t>
  </si>
  <si>
    <t>Aumento di capitale</t>
  </si>
  <si>
    <t>Acquisto azioni proprie</t>
  </si>
  <si>
    <t>Esborso per 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</si>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</sst>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6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centerContinuous" vertical="center"/>
      <protection/>
    </xf>
    <xf numFmtId="184" fontId="11" fillId="0" borderId="0" xfId="0" applyNumberFormat="1" applyFont="1" applyFill="1" applyBorder="1" applyAlignment="1" applyProtection="1">
      <alignment horizontal="centerContinuous" vertical="center"/>
      <protection/>
    </xf>
    <xf numFmtId="184" fontId="2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8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46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8" fontId="7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Alignment="1" applyProtection="1">
      <alignment vertical="center"/>
      <protection/>
    </xf>
    <xf numFmtId="178" fontId="7" fillId="33" borderId="21" xfId="0" applyNumberFormat="1" applyFont="1" applyFill="1" applyBorder="1" applyAlignment="1">
      <alignment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horizontal="center" vertical="center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right" vertical="center"/>
      <protection/>
    </xf>
    <xf numFmtId="178" fontId="7" fillId="33" borderId="19" xfId="0" applyNumberFormat="1" applyFont="1" applyFill="1" applyBorder="1" applyAlignment="1">
      <alignment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vertical="center"/>
      <protection/>
    </xf>
    <xf numFmtId="37" fontId="11" fillId="33" borderId="22" xfId="0" applyNumberFormat="1" applyFont="1" applyFill="1" applyBorder="1" applyAlignment="1" applyProtection="1">
      <alignment horizontal="center" vertical="center"/>
      <protection/>
    </xf>
    <xf numFmtId="178" fontId="7" fillId="33" borderId="10" xfId="0" applyNumberFormat="1" applyFont="1" applyFill="1" applyBorder="1" applyAlignment="1">
      <alignment/>
    </xf>
    <xf numFmtId="37" fontId="11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 quotePrefix="1">
      <alignment horizontal="left" vertical="center"/>
      <protection/>
    </xf>
    <xf numFmtId="38" fontId="11" fillId="33" borderId="0" xfId="46" applyFont="1" applyFill="1" applyAlignment="1">
      <alignment vertical="center"/>
    </xf>
    <xf numFmtId="0" fontId="11" fillId="33" borderId="0" xfId="0" applyFont="1" applyFill="1" applyAlignment="1" applyProtection="1" quotePrefix="1">
      <alignment vertical="center"/>
      <protection/>
    </xf>
    <xf numFmtId="178" fontId="7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184" fontId="8" fillId="33" borderId="0" xfId="0" applyNumberFormat="1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center" vertical="center"/>
    </xf>
    <xf numFmtId="0" fontId="15" fillId="33" borderId="15" xfId="0" applyFont="1" applyFill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185" fontId="7" fillId="33" borderId="18" xfId="0" applyNumberFormat="1" applyFont="1" applyFill="1" applyBorder="1" applyAlignment="1" applyProtection="1">
      <alignment horizontal="centerContinuous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49" fontId="15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37" fontId="7" fillId="33" borderId="16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7" fillId="33" borderId="20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37" fontId="15" fillId="33" borderId="0" xfId="0" applyNumberFormat="1" applyFont="1" applyFill="1" applyBorder="1" applyAlignment="1" applyProtection="1">
      <alignment vertical="center"/>
      <protection/>
    </xf>
    <xf numFmtId="37" fontId="15" fillId="33" borderId="0" xfId="0" applyNumberFormat="1" applyFont="1" applyFill="1" applyAlignment="1" applyProtection="1">
      <alignment vertical="center"/>
      <protection/>
    </xf>
    <xf numFmtId="37" fontId="7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41" fontId="7" fillId="33" borderId="21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/>
      <protection/>
    </xf>
    <xf numFmtId="185" fontId="7" fillId="33" borderId="0" xfId="0" applyNumberFormat="1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/>
      <protection/>
    </xf>
    <xf numFmtId="178" fontId="7" fillId="33" borderId="23" xfId="0" applyNumberFormat="1" applyFont="1" applyFill="1" applyBorder="1" applyAlignment="1">
      <alignment/>
    </xf>
    <xf numFmtId="178" fontId="7" fillId="33" borderId="23" xfId="0" applyNumberFormat="1" applyFont="1" applyFill="1" applyBorder="1" applyAlignment="1">
      <alignment/>
    </xf>
    <xf numFmtId="178" fontId="7" fillId="33" borderId="23" xfId="0" applyNumberFormat="1" applyFont="1" applyFill="1" applyBorder="1" applyAlignment="1" applyProtection="1">
      <alignment horizontal="right" vertical="center"/>
      <protection/>
    </xf>
    <xf numFmtId="178" fontId="15" fillId="33" borderId="19" xfId="0" applyNumberFormat="1" applyFont="1" applyFill="1" applyBorder="1" applyAlignment="1" applyProtection="1">
      <alignment horizontal="right" vertical="center"/>
      <protection/>
    </xf>
    <xf numFmtId="3" fontId="11" fillId="33" borderId="23" xfId="0" applyNumberFormat="1" applyFont="1" applyFill="1" applyBorder="1" applyAlignment="1" applyProtection="1">
      <alignment horizontal="right" vertical="center"/>
      <protection/>
    </xf>
    <xf numFmtId="3" fontId="7" fillId="33" borderId="23" xfId="0" applyNumberFormat="1" applyFont="1" applyFill="1" applyBorder="1" applyAlignment="1" applyProtection="1">
      <alignment horizontal="right" vertical="center"/>
      <protection/>
    </xf>
    <xf numFmtId="178" fontId="15" fillId="33" borderId="21" xfId="0" applyNumberFormat="1" applyFont="1" applyFill="1" applyBorder="1" applyAlignment="1" applyProtection="1">
      <alignment horizontal="right" vertical="center"/>
      <protection/>
    </xf>
    <xf numFmtId="3" fontId="9" fillId="33" borderId="19" xfId="0" applyNumberFormat="1" applyFont="1" applyFill="1" applyBorder="1" applyAlignment="1" applyProtection="1">
      <alignment horizontal="right" vertical="center"/>
      <protection/>
    </xf>
    <xf numFmtId="3" fontId="15" fillId="33" borderId="19" xfId="0" applyNumberFormat="1" applyFont="1" applyFill="1" applyBorder="1" applyAlignment="1" applyProtection="1">
      <alignment horizontal="right" vertical="center"/>
      <protection/>
    </xf>
    <xf numFmtId="3" fontId="9" fillId="33" borderId="21" xfId="0" applyNumberFormat="1" applyFont="1" applyFill="1" applyBorder="1" applyAlignment="1" applyProtection="1">
      <alignment horizontal="right" vertical="center"/>
      <protection/>
    </xf>
    <xf numFmtId="3" fontId="15" fillId="33" borderId="21" xfId="0" applyNumberFormat="1" applyFont="1" applyFill="1" applyBorder="1" applyAlignment="1" applyProtection="1">
      <alignment horizontal="right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38" fontId="7" fillId="33" borderId="0" xfId="46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37" fontId="7" fillId="33" borderId="14" xfId="0" applyNumberFormat="1" applyFont="1" applyFill="1" applyBorder="1" applyAlignment="1" applyProtection="1">
      <alignment vertical="center"/>
      <protection/>
    </xf>
    <xf numFmtId="178" fontId="15" fillId="33" borderId="13" xfId="0" applyNumberFormat="1" applyFont="1" applyFill="1" applyBorder="1" applyAlignment="1" applyProtection="1">
      <alignment horizontal="right" vertical="center"/>
      <protection/>
    </xf>
    <xf numFmtId="178" fontId="9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7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37" fontId="7" fillId="33" borderId="22" xfId="0" applyNumberFormat="1" applyFont="1" applyFill="1" applyBorder="1" applyAlignment="1" applyProtection="1">
      <alignment horizontal="center" vertical="center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 quotePrefix="1">
      <alignment horizontal="left"/>
      <protection/>
    </xf>
    <xf numFmtId="41" fontId="7" fillId="33" borderId="21" xfId="46" applyNumberFormat="1" applyFont="1" applyFill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vertical="center"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178" fontId="15" fillId="33" borderId="21" xfId="0" applyNumberFormat="1" applyFont="1" applyFill="1" applyBorder="1" applyAlignment="1">
      <alignment/>
    </xf>
    <xf numFmtId="0" fontId="25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37" fontId="15" fillId="33" borderId="13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1" fontId="15" fillId="33" borderId="19" xfId="0" applyNumberFormat="1" applyFont="1" applyFill="1" applyBorder="1" applyAlignment="1" applyProtection="1">
      <alignment horizontal="center" vertical="center"/>
      <protection/>
    </xf>
    <xf numFmtId="41" fontId="7" fillId="33" borderId="0" xfId="47" applyFont="1" applyFill="1" applyBorder="1" applyAlignment="1" applyProtection="1">
      <alignment horizontal="right" vertical="center"/>
      <protection/>
    </xf>
    <xf numFmtId="184" fontId="7" fillId="33" borderId="0" xfId="0" applyNumberFormat="1" applyFont="1" applyFill="1" applyBorder="1" applyAlignment="1" applyProtection="1">
      <alignment horizontal="right" vertical="center"/>
      <protection/>
    </xf>
    <xf numFmtId="184" fontId="7" fillId="33" borderId="18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/>
      <protection/>
    </xf>
    <xf numFmtId="0" fontId="15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38" fontId="7" fillId="33" borderId="21" xfId="46" applyFont="1" applyFill="1" applyBorder="1" applyAlignment="1" applyProtection="1">
      <alignment horizontal="right" vertical="center"/>
      <protection/>
    </xf>
    <xf numFmtId="178" fontId="7" fillId="33" borderId="19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 quotePrefix="1">
      <alignment horizontal="right" vertical="center"/>
      <protection/>
    </xf>
    <xf numFmtId="38" fontId="7" fillId="33" borderId="19" xfId="46" applyFont="1" applyFill="1" applyBorder="1" applyAlignment="1" applyProtection="1">
      <alignment horizontal="right" vertical="center"/>
      <protection/>
    </xf>
    <xf numFmtId="38" fontId="11" fillId="33" borderId="21" xfId="46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 quotePrefix="1">
      <alignment horizontal="right" vertical="center"/>
      <protection/>
    </xf>
    <xf numFmtId="178" fontId="7" fillId="33" borderId="0" xfId="0" applyNumberFormat="1" applyFont="1" applyFill="1" applyAlignment="1" applyProtection="1">
      <alignment horizontal="right" vertical="center"/>
      <protection/>
    </xf>
    <xf numFmtId="38" fontId="15" fillId="33" borderId="19" xfId="46" applyFont="1" applyFill="1" applyBorder="1" applyAlignment="1" applyProtection="1">
      <alignment horizontal="right" vertical="center"/>
      <protection/>
    </xf>
    <xf numFmtId="0" fontId="21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9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7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7" fillId="33" borderId="16" xfId="0" applyNumberFormat="1" applyFont="1" applyFill="1" applyBorder="1" applyAlignment="1">
      <alignment/>
    </xf>
    <xf numFmtId="178" fontId="7" fillId="33" borderId="0" xfId="0" applyNumberFormat="1" applyFont="1" applyFill="1" applyBorder="1" applyAlignment="1">
      <alignment/>
    </xf>
    <xf numFmtId="178" fontId="6" fillId="0" borderId="0" xfId="49" applyNumberFormat="1" applyFont="1" applyFill="1">
      <alignment/>
      <protection/>
    </xf>
    <xf numFmtId="178" fontId="6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78" fontId="4" fillId="0" borderId="13" xfId="49" applyNumberFormat="1" applyFont="1" applyFill="1" applyBorder="1" applyAlignment="1" applyProtection="1">
      <alignment horizontal="left" vertical="center"/>
      <protection/>
    </xf>
    <xf numFmtId="191" fontId="26" fillId="0" borderId="0" xfId="49" applyNumberFormat="1" applyFont="1" applyFill="1">
      <alignment/>
      <protection/>
    </xf>
    <xf numFmtId="178" fontId="26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6" fillId="0" borderId="16" xfId="49" applyNumberFormat="1" applyFont="1" applyFill="1" applyBorder="1">
      <alignment/>
      <protection/>
    </xf>
    <xf numFmtId="178" fontId="0" fillId="0" borderId="13" xfId="49" applyNumberFormat="1" applyFont="1" applyFill="1" applyBorder="1" applyAlignment="1" applyProtection="1">
      <alignment horizontal="left" vertical="center"/>
      <protection/>
    </xf>
    <xf numFmtId="191" fontId="0" fillId="0" borderId="13" xfId="49" applyNumberFormat="1" applyFont="1" applyFill="1" applyBorder="1" applyAlignment="1" quotePrefix="1">
      <alignment horizontal="right" wrapText="1"/>
      <protection/>
    </xf>
    <xf numFmtId="178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 applyAlignment="1" applyProtection="1">
      <alignment horizontal="left" vertical="center" wrapText="1"/>
      <protection/>
    </xf>
    <xf numFmtId="178" fontId="1" fillId="0" borderId="18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Protection="1">
      <alignment/>
      <protection/>
    </xf>
    <xf numFmtId="178" fontId="0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left"/>
      <protection/>
    </xf>
    <xf numFmtId="178" fontId="1" fillId="0" borderId="22" xfId="49" applyNumberFormat="1" applyFont="1" applyFill="1" applyBorder="1" applyProtection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2" xfId="49" applyNumberFormat="1" applyFont="1" applyFill="1" applyBorder="1">
      <alignment/>
      <protection/>
    </xf>
    <xf numFmtId="178" fontId="1" fillId="0" borderId="25" xfId="49" applyNumberFormat="1" applyFont="1" applyFill="1" applyBorder="1">
      <alignment/>
      <protection/>
    </xf>
    <xf numFmtId="178" fontId="0" fillId="34" borderId="0" xfId="49" applyNumberFormat="1" applyFont="1" applyFill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6" fillId="0" borderId="13" xfId="49" applyNumberFormat="1" applyFont="1" applyFill="1" applyBorder="1">
      <alignment/>
      <protection/>
    </xf>
    <xf numFmtId="178" fontId="6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78" fontId="1" fillId="0" borderId="13" xfId="49" applyNumberFormat="1" applyFont="1" applyFill="1" applyBorder="1" applyAlignment="1">
      <alignment horizontal="left" vertical="center"/>
      <protection/>
    </xf>
    <xf numFmtId="191" fontId="6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78" fontId="1" fillId="0" borderId="25" xfId="49" applyNumberFormat="1" applyFont="1" applyBorder="1">
      <alignment/>
      <protection/>
    </xf>
    <xf numFmtId="178" fontId="1" fillId="0" borderId="25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5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9" fillId="0" borderId="0" xfId="49" applyNumberFormat="1" applyFont="1" applyFill="1" applyAlignment="1" applyProtection="1">
      <alignment vertical="center"/>
      <protection/>
    </xf>
    <xf numFmtId="178" fontId="19" fillId="0" borderId="0" xfId="49" applyNumberFormat="1" applyFont="1" applyFill="1">
      <alignment/>
      <protection/>
    </xf>
    <xf numFmtId="192" fontId="1" fillId="0" borderId="0" xfId="49" applyNumberFormat="1" applyFont="1" applyFill="1" applyBorder="1">
      <alignment/>
      <protection/>
    </xf>
    <xf numFmtId="178" fontId="19" fillId="0" borderId="0" xfId="49" applyNumberFormat="1" applyFont="1" applyFill="1" applyAlignment="1" applyProtection="1">
      <alignment horizontal="right" vertical="center"/>
      <protection/>
    </xf>
    <xf numFmtId="178" fontId="19" fillId="0" borderId="0" xfId="49" applyNumberFormat="1" applyFont="1" applyFill="1" applyAlignment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0" fillId="0" borderId="18" xfId="49" applyNumberFormat="1" applyFont="1" applyFill="1" applyBorder="1" applyAlignment="1">
      <alignment horizontal="right" wrapText="1"/>
      <protection/>
    </xf>
    <xf numFmtId="191" fontId="0" fillId="0" borderId="18" xfId="49" applyNumberFormat="1" applyFont="1" applyFill="1" applyBorder="1" applyAlignment="1">
      <alignment horizontal="left" wrapText="1"/>
      <protection/>
    </xf>
    <xf numFmtId="191" fontId="0" fillId="0" borderId="18" xfId="49" applyNumberFormat="1" applyFont="1" applyFill="1" applyBorder="1" applyAlignment="1" quotePrefix="1">
      <alignment horizontal="right" wrapText="1"/>
      <protection/>
    </xf>
    <xf numFmtId="178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178" fontId="1" fillId="0" borderId="26" xfId="49" applyNumberFormat="1" applyFont="1" applyFill="1" applyBorder="1">
      <alignment/>
      <protection/>
    </xf>
    <xf numFmtId="0" fontId="21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18" xfId="0" applyFont="1" applyBorder="1" applyAlignment="1" quotePrefix="1">
      <alignment horizontal="right"/>
    </xf>
    <xf numFmtId="0" fontId="43" fillId="0" borderId="18" xfId="0" applyFont="1" applyBorder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right"/>
    </xf>
    <xf numFmtId="178" fontId="43" fillId="0" borderId="0" xfId="0" applyNumberFormat="1" applyFont="1" applyAlignment="1">
      <alignment horizontal="right"/>
    </xf>
    <xf numFmtId="178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178" fontId="43" fillId="0" borderId="0" xfId="0" applyNumberFormat="1" applyFont="1" applyFill="1" applyAlignment="1">
      <alignment horizontal="right"/>
    </xf>
    <xf numFmtId="0" fontId="45" fillId="0" borderId="18" xfId="0" applyFont="1" applyBorder="1" applyAlignment="1">
      <alignment/>
    </xf>
    <xf numFmtId="178" fontId="43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9" t="s">
        <v>256</v>
      </c>
      <c r="B1" s="389"/>
      <c r="C1" s="389"/>
      <c r="D1" s="389"/>
      <c r="E1" s="389"/>
      <c r="F1" s="389"/>
      <c r="G1" s="389"/>
      <c r="H1" s="389"/>
      <c r="I1" s="389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90" t="s">
        <v>138</v>
      </c>
      <c r="B4" s="391"/>
      <c r="C4" s="391"/>
      <c r="D4" s="391"/>
      <c r="E4" s="391"/>
      <c r="F4" s="391"/>
      <c r="G4" s="392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90" t="s">
        <v>138</v>
      </c>
      <c r="B37" s="391"/>
      <c r="C37" s="391"/>
      <c r="D37" s="391"/>
      <c r="E37" s="391"/>
      <c r="F37" s="391"/>
      <c r="G37" s="392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4">
      <selection activeCell="B40" sqref="B40"/>
    </sheetView>
  </sheetViews>
  <sheetFormatPr defaultColWidth="9.140625" defaultRowHeight="12.75"/>
  <cols>
    <col min="1" max="1" width="36.7109375" style="333" customWidth="1"/>
    <col min="2" max="3" width="17.8515625" style="363" customWidth="1"/>
    <col min="4" max="4" width="12.00390625" style="333" customWidth="1"/>
    <col min="5" max="16384" width="9.140625" style="333" customWidth="1"/>
  </cols>
  <sheetData>
    <row r="1" spans="1:4" s="318" customFormat="1" ht="12.75">
      <c r="A1" s="351" t="s">
        <v>261</v>
      </c>
      <c r="B1" s="352"/>
      <c r="C1" s="352"/>
      <c r="D1" s="353"/>
    </row>
    <row r="2" spans="1:4" s="318" customFormat="1" ht="12.75">
      <c r="A2" s="327"/>
      <c r="B2" s="328" t="s">
        <v>319</v>
      </c>
      <c r="C2" s="328" t="s">
        <v>319</v>
      </c>
      <c r="D2" s="329"/>
    </row>
    <row r="3" spans="1:5" ht="15.75" customHeight="1">
      <c r="A3" s="330" t="s">
        <v>348</v>
      </c>
      <c r="B3" s="331" t="s">
        <v>351</v>
      </c>
      <c r="C3" s="331" t="s">
        <v>346</v>
      </c>
      <c r="D3" s="332" t="s">
        <v>287</v>
      </c>
      <c r="E3" s="354"/>
    </row>
    <row r="4" spans="1:5" ht="9.75" customHeight="1">
      <c r="A4" s="355"/>
      <c r="B4" s="356"/>
      <c r="C4" s="356"/>
      <c r="D4" s="357"/>
      <c r="E4" s="354"/>
    </row>
    <row r="5" spans="1:5" ht="12.75">
      <c r="A5" s="334" t="s">
        <v>20</v>
      </c>
      <c r="B5" s="358"/>
      <c r="C5" s="358"/>
      <c r="D5" s="359"/>
      <c r="E5" s="354"/>
    </row>
    <row r="6" spans="1:5" ht="12.75">
      <c r="A6" s="334"/>
      <c r="B6" s="358"/>
      <c r="C6" s="358"/>
      <c r="D6" s="359"/>
      <c r="E6" s="354"/>
    </row>
    <row r="7" spans="1:5" ht="12.75">
      <c r="A7" s="334" t="s">
        <v>302</v>
      </c>
      <c r="B7" s="358"/>
      <c r="C7" s="358"/>
      <c r="D7" s="359"/>
      <c r="E7" s="354"/>
    </row>
    <row r="8" spans="1:4" ht="12.75">
      <c r="A8" s="360" t="s">
        <v>262</v>
      </c>
      <c r="B8" s="333">
        <v>637535</v>
      </c>
      <c r="C8" s="333">
        <f>630432-116</f>
        <v>630316</v>
      </c>
      <c r="D8" s="333">
        <f aca="true" t="shared" si="0" ref="D8:D19">+B8-C8</f>
        <v>7219</v>
      </c>
    </row>
    <row r="9" spans="1:4" ht="12.75">
      <c r="A9" s="360" t="s">
        <v>298</v>
      </c>
      <c r="B9" s="333">
        <v>248595</v>
      </c>
      <c r="C9" s="333">
        <f>256850+116</f>
        <v>256966</v>
      </c>
      <c r="D9" s="333">
        <f t="shared" si="0"/>
        <v>-8371</v>
      </c>
    </row>
    <row r="10" spans="1:4" ht="12.75">
      <c r="A10" s="360" t="s">
        <v>263</v>
      </c>
      <c r="B10" s="333"/>
      <c r="C10" s="333"/>
      <c r="D10" s="333">
        <f t="shared" si="0"/>
        <v>0</v>
      </c>
    </row>
    <row r="11" spans="1:4" ht="12.75">
      <c r="A11" s="360" t="s">
        <v>264</v>
      </c>
      <c r="B11" s="333">
        <v>725</v>
      </c>
      <c r="C11" s="333">
        <v>754</v>
      </c>
      <c r="D11" s="333">
        <f t="shared" si="0"/>
        <v>-29</v>
      </c>
    </row>
    <row r="12" spans="1:4" ht="12.75">
      <c r="A12" s="360" t="s">
        <v>266</v>
      </c>
      <c r="B12" s="333">
        <f>177+58</f>
        <v>235</v>
      </c>
      <c r="C12" s="333">
        <v>240</v>
      </c>
      <c r="D12" s="333">
        <f t="shared" si="0"/>
        <v>-5</v>
      </c>
    </row>
    <row r="13" spans="1:4" ht="12.75">
      <c r="A13" s="380" t="s">
        <v>343</v>
      </c>
      <c r="B13" s="381"/>
      <c r="C13" s="381">
        <v>63</v>
      </c>
      <c r="D13" s="381">
        <f t="shared" si="0"/>
        <v>-63</v>
      </c>
    </row>
    <row r="14" spans="1:4" ht="12.75">
      <c r="A14" s="360" t="s">
        <v>299</v>
      </c>
      <c r="B14" s="333">
        <f>15965-8144</f>
        <v>7821</v>
      </c>
      <c r="C14" s="333">
        <v>7716</v>
      </c>
      <c r="D14" s="333">
        <f t="shared" si="0"/>
        <v>105</v>
      </c>
    </row>
    <row r="15" spans="1:4" ht="12.75">
      <c r="A15" s="360" t="s">
        <v>300</v>
      </c>
      <c r="B15" s="333">
        <f>30585+2948-1</f>
        <v>33532</v>
      </c>
      <c r="C15" s="333">
        <v>46742</v>
      </c>
      <c r="D15" s="333">
        <f t="shared" si="0"/>
        <v>-13210</v>
      </c>
    </row>
    <row r="16" spans="1:4" ht="12.75">
      <c r="A16" s="360" t="s">
        <v>349</v>
      </c>
      <c r="B16" s="333">
        <v>0</v>
      </c>
      <c r="C16" s="333">
        <v>174</v>
      </c>
      <c r="D16" s="333">
        <f>+B16-C16</f>
        <v>-174</v>
      </c>
    </row>
    <row r="17" spans="1:4" ht="12.75">
      <c r="A17" s="360" t="s">
        <v>350</v>
      </c>
      <c r="B17" s="333">
        <v>8877</v>
      </c>
      <c r="C17" s="333">
        <f>6576-174</f>
        <v>6402</v>
      </c>
      <c r="D17" s="333">
        <f t="shared" si="0"/>
        <v>2475</v>
      </c>
    </row>
    <row r="18" spans="1:4" ht="12.75">
      <c r="A18" s="380" t="s">
        <v>343</v>
      </c>
      <c r="B18" s="381">
        <f>390+440</f>
        <v>830</v>
      </c>
      <c r="C18" s="381">
        <f>363+440</f>
        <v>803</v>
      </c>
      <c r="D18" s="381">
        <f t="shared" si="0"/>
        <v>27</v>
      </c>
    </row>
    <row r="19" spans="1:4" ht="12.75">
      <c r="A19" s="361" t="s">
        <v>265</v>
      </c>
      <c r="B19" s="361">
        <f>SUM(B8:B17)-B13</f>
        <v>937320</v>
      </c>
      <c r="C19" s="361">
        <f>SUM(C8:C17)-C13</f>
        <v>949310</v>
      </c>
      <c r="D19" s="361">
        <f t="shared" si="0"/>
        <v>-11990</v>
      </c>
    </row>
    <row r="20" spans="2:3" ht="11.25" customHeight="1">
      <c r="B20" s="333"/>
      <c r="C20" s="333"/>
    </row>
    <row r="21" spans="1:4" ht="12.75">
      <c r="A21" s="361" t="s">
        <v>301</v>
      </c>
      <c r="B21" s="337"/>
      <c r="C21" s="337"/>
      <c r="D21" s="337">
        <f>+B21-C21</f>
        <v>0</v>
      </c>
    </row>
    <row r="22" spans="2:3" ht="9.75" customHeight="1">
      <c r="B22" s="333"/>
      <c r="C22" s="333"/>
    </row>
    <row r="23" spans="1:3" ht="13.5" customHeight="1">
      <c r="A23" s="334" t="s">
        <v>303</v>
      </c>
      <c r="B23" s="333"/>
      <c r="C23" s="333"/>
    </row>
    <row r="24" spans="1:4" ht="12.75">
      <c r="A24" s="360" t="s">
        <v>349</v>
      </c>
      <c r="B24" s="333">
        <v>121412</v>
      </c>
      <c r="C24" s="333">
        <f>136081+1106</f>
        <v>137187</v>
      </c>
      <c r="D24" s="333">
        <f aca="true" t="shared" si="1" ref="D24:D33">+B24-C24</f>
        <v>-15775</v>
      </c>
    </row>
    <row r="25" spans="1:4" ht="12.75">
      <c r="A25" s="380" t="s">
        <v>343</v>
      </c>
      <c r="B25" s="381">
        <v>2042</v>
      </c>
      <c r="C25" s="381">
        <f>32+1074</f>
        <v>1106</v>
      </c>
      <c r="D25" s="381">
        <f t="shared" si="1"/>
        <v>936</v>
      </c>
    </row>
    <row r="26" spans="1:4" ht="12.75">
      <c r="A26" s="360" t="s">
        <v>350</v>
      </c>
      <c r="B26" s="333">
        <v>20345</v>
      </c>
      <c r="C26" s="333">
        <f>29838+3579</f>
        <v>33417</v>
      </c>
      <c r="D26" s="333">
        <f>+B26-C26</f>
        <v>-13072</v>
      </c>
    </row>
    <row r="27" spans="1:4" ht="12.75">
      <c r="A27" s="380" t="s">
        <v>343</v>
      </c>
      <c r="B27" s="381">
        <v>1205</v>
      </c>
      <c r="C27" s="381">
        <f>5125-440-32-1074</f>
        <v>3579</v>
      </c>
      <c r="D27" s="381">
        <f>+B27-C27</f>
        <v>-2374</v>
      </c>
    </row>
    <row r="28" spans="1:4" ht="12.75">
      <c r="A28" s="360" t="s">
        <v>288</v>
      </c>
      <c r="B28" s="333">
        <f>19621</f>
        <v>19621</v>
      </c>
      <c r="C28" s="333">
        <v>35383</v>
      </c>
      <c r="D28" s="333">
        <f t="shared" si="1"/>
        <v>-15762</v>
      </c>
    </row>
    <row r="29" spans="1:4" ht="12.75">
      <c r="A29" s="360" t="s">
        <v>60</v>
      </c>
      <c r="B29" s="333">
        <v>225529</v>
      </c>
      <c r="C29" s="333">
        <v>233306</v>
      </c>
      <c r="D29" s="333">
        <f t="shared" si="1"/>
        <v>-7777</v>
      </c>
    </row>
    <row r="30" spans="1:4" ht="15.75" customHeight="1">
      <c r="A30" s="360" t="s">
        <v>266</v>
      </c>
      <c r="B30" s="333">
        <v>18418</v>
      </c>
      <c r="C30" s="333">
        <v>11866</v>
      </c>
      <c r="D30" s="333">
        <f t="shared" si="1"/>
        <v>6552</v>
      </c>
    </row>
    <row r="31" spans="1:4" ht="15.75" customHeight="1">
      <c r="A31" s="380" t="s">
        <v>343</v>
      </c>
      <c r="B31" s="381">
        <v>58</v>
      </c>
      <c r="C31" s="381">
        <v>30</v>
      </c>
      <c r="D31" s="381">
        <f t="shared" si="1"/>
        <v>28</v>
      </c>
    </row>
    <row r="32" spans="1:4" ht="12.75">
      <c r="A32" s="362" t="s">
        <v>267</v>
      </c>
      <c r="B32" s="333">
        <v>101334</v>
      </c>
      <c r="C32" s="333">
        <v>68857</v>
      </c>
      <c r="D32" s="333">
        <f t="shared" si="1"/>
        <v>32477</v>
      </c>
    </row>
    <row r="33" spans="1:4" ht="12.75">
      <c r="A33" s="337" t="s">
        <v>268</v>
      </c>
      <c r="B33" s="337">
        <f>SUM(B24:B32)-B25-B31-B27</f>
        <v>506659</v>
      </c>
      <c r="C33" s="337">
        <f>SUM(C24:C32)-C25-C31-C27</f>
        <v>520016</v>
      </c>
      <c r="D33" s="337">
        <f t="shared" si="1"/>
        <v>-13357</v>
      </c>
    </row>
    <row r="34" spans="2:3" ht="10.5" customHeight="1">
      <c r="B34" s="333"/>
      <c r="C34" s="333"/>
    </row>
    <row r="35" spans="1:4" ht="13.5" thickBot="1">
      <c r="A35" s="349" t="s">
        <v>323</v>
      </c>
      <c r="B35" s="349">
        <f>+B33+B19</f>
        <v>1443979</v>
      </c>
      <c r="C35" s="349">
        <f>+C33+C19</f>
        <v>1469326</v>
      </c>
      <c r="D35" s="349">
        <f>+B35-C35</f>
        <v>-25347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1:4" ht="12.75">
      <c r="A38" s="350" t="s">
        <v>320</v>
      </c>
      <c r="B38" s="350">
        <f>+B35-'SP PAS IAS '!B33</f>
        <v>0</v>
      </c>
      <c r="C38" s="350">
        <f>+C35-'SP PAS IAS '!C33</f>
        <v>0</v>
      </c>
      <c r="D38" s="350">
        <f>+D35-'SP PAS IAS '!D33</f>
        <v>0</v>
      </c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4" ht="12.75">
      <c r="B137" s="333"/>
      <c r="C137" s="333"/>
      <c r="D137" s="333" t="e">
        <f>+D135+D132+D99+#REF!+D89+#REF!</f>
        <v>#REF!</v>
      </c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zoomScalePageLayoutView="0" workbookViewId="0" topLeftCell="A12">
      <selection activeCell="B12" sqref="B1:B16384"/>
    </sheetView>
  </sheetViews>
  <sheetFormatPr defaultColWidth="9.140625" defaultRowHeight="12.75"/>
  <cols>
    <col min="1" max="1" width="41.57421875" style="323" bestFit="1" customWidth="1"/>
    <col min="2" max="2" width="17.28125" style="322" customWidth="1"/>
    <col min="3" max="3" width="15.8515625" style="322" bestFit="1" customWidth="1"/>
    <col min="4" max="4" width="12.28125" style="323" customWidth="1"/>
    <col min="5" max="16384" width="9.140625" style="321" customWidth="1"/>
  </cols>
  <sheetData>
    <row r="1" spans="1:4" s="318" customFormat="1" ht="15">
      <c r="A1" s="324" t="s">
        <v>261</v>
      </c>
      <c r="B1" s="325"/>
      <c r="C1" s="325"/>
      <c r="D1" s="326"/>
    </row>
    <row r="2" spans="1:4" s="318" customFormat="1" ht="12.75">
      <c r="A2" s="327"/>
      <c r="B2" s="328" t="s">
        <v>319</v>
      </c>
      <c r="C2" s="328" t="s">
        <v>319</v>
      </c>
      <c r="D2" s="329"/>
    </row>
    <row r="3" spans="1:5" ht="12.75">
      <c r="A3" s="330" t="s">
        <v>348</v>
      </c>
      <c r="B3" s="331" t="str">
        <f>+'SP ATT IAS'!B3</f>
        <v>31 dicembre 2007</v>
      </c>
      <c r="C3" s="331" t="s">
        <v>346</v>
      </c>
      <c r="D3" s="332" t="s">
        <v>287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334" t="s">
        <v>321</v>
      </c>
      <c r="B5" s="333"/>
      <c r="C5" s="333"/>
      <c r="D5" s="333"/>
    </row>
    <row r="6" spans="1:4" ht="8.25" customHeight="1">
      <c r="A6" s="333"/>
      <c r="B6" s="333"/>
      <c r="C6" s="333"/>
      <c r="D6" s="333"/>
    </row>
    <row r="7" spans="1:4" ht="16.5" customHeight="1">
      <c r="A7" s="334" t="s">
        <v>93</v>
      </c>
      <c r="B7" s="333"/>
      <c r="C7" s="333"/>
      <c r="D7" s="333"/>
    </row>
    <row r="8" spans="1:6" ht="25.5">
      <c r="A8" s="335" t="s">
        <v>304</v>
      </c>
      <c r="B8" s="333">
        <v>470397</v>
      </c>
      <c r="C8" s="333">
        <v>438091</v>
      </c>
      <c r="D8" s="333">
        <f>+B8-C8</f>
        <v>32306</v>
      </c>
      <c r="F8" s="333"/>
    </row>
    <row r="9" spans="1:6" ht="25.5">
      <c r="A9" s="335" t="s">
        <v>305</v>
      </c>
      <c r="B9" s="333">
        <v>1050</v>
      </c>
      <c r="C9" s="333">
        <v>607</v>
      </c>
      <c r="D9" s="333">
        <f>+B9-C9</f>
        <v>443</v>
      </c>
      <c r="F9" s="333"/>
    </row>
    <row r="10" spans="1:4" ht="12.75">
      <c r="A10" s="336" t="s">
        <v>306</v>
      </c>
      <c r="B10" s="337">
        <f>+B8+B9</f>
        <v>471447</v>
      </c>
      <c r="C10" s="337">
        <f>+C8+C9</f>
        <v>438698</v>
      </c>
      <c r="D10" s="337">
        <f>+B10-C10</f>
        <v>32749</v>
      </c>
    </row>
    <row r="11" spans="1:4" ht="8.25" customHeight="1">
      <c r="A11" s="334"/>
      <c r="B11" s="338"/>
      <c r="C11" s="338"/>
      <c r="D11" s="338"/>
    </row>
    <row r="12" spans="1:4" ht="14.25" customHeight="1">
      <c r="A12" s="334" t="s">
        <v>307</v>
      </c>
      <c r="B12" s="338"/>
      <c r="C12" s="338"/>
      <c r="D12" s="338"/>
    </row>
    <row r="13" spans="1:7" ht="12.75">
      <c r="A13" s="339" t="s">
        <v>312</v>
      </c>
      <c r="B13" s="340">
        <v>322921</v>
      </c>
      <c r="C13" s="340">
        <v>355935</v>
      </c>
      <c r="D13" s="340">
        <f aca="true" t="shared" si="0" ref="D13:D21">+B13-C13</f>
        <v>-33014</v>
      </c>
      <c r="F13" s="340"/>
      <c r="G13" s="340"/>
    </row>
    <row r="14" spans="1:4" s="333" customFormat="1" ht="12.75">
      <c r="A14" s="380" t="s">
        <v>343</v>
      </c>
      <c r="D14" s="381">
        <f t="shared" si="0"/>
        <v>0</v>
      </c>
    </row>
    <row r="15" spans="1:4" ht="12.75">
      <c r="A15" s="341" t="s">
        <v>270</v>
      </c>
      <c r="B15" s="340"/>
      <c r="C15" s="340">
        <v>0</v>
      </c>
      <c r="D15" s="340">
        <f t="shared" si="0"/>
        <v>0</v>
      </c>
    </row>
    <row r="16" spans="1:4" ht="12.75">
      <c r="A16" s="341" t="s">
        <v>308</v>
      </c>
      <c r="B16" s="382">
        <v>62204</v>
      </c>
      <c r="C16" s="382">
        <v>78148</v>
      </c>
      <c r="D16" s="340">
        <f t="shared" si="0"/>
        <v>-15944</v>
      </c>
    </row>
    <row r="17" spans="1:4" ht="12.75">
      <c r="A17" s="339" t="s">
        <v>309</v>
      </c>
      <c r="B17" s="340">
        <v>19969</v>
      </c>
      <c r="C17" s="340">
        <v>21906</v>
      </c>
      <c r="D17" s="340">
        <f t="shared" si="0"/>
        <v>-1937</v>
      </c>
    </row>
    <row r="18" spans="1:4" ht="12.75">
      <c r="A18" s="347" t="s">
        <v>313</v>
      </c>
      <c r="B18" s="333"/>
      <c r="C18" s="333">
        <v>188</v>
      </c>
      <c r="D18" s="333">
        <f t="shared" si="0"/>
        <v>-188</v>
      </c>
    </row>
    <row r="19" spans="1:4" ht="12.75">
      <c r="A19" s="341" t="s">
        <v>345</v>
      </c>
      <c r="B19" s="340">
        <f>19744+1002</f>
        <v>20746</v>
      </c>
      <c r="C19" s="340">
        <v>17499</v>
      </c>
      <c r="D19" s="340">
        <f>+B19-C19</f>
        <v>3247</v>
      </c>
    </row>
    <row r="20" spans="1:4" ht="12.75">
      <c r="A20" s="339" t="s">
        <v>310</v>
      </c>
      <c r="B20" s="340">
        <f>39482+32</f>
        <v>39514</v>
      </c>
      <c r="C20" s="340">
        <v>34822</v>
      </c>
      <c r="D20" s="340">
        <f t="shared" si="0"/>
        <v>4692</v>
      </c>
    </row>
    <row r="21" spans="1:4" ht="12.75">
      <c r="A21" s="342" t="s">
        <v>269</v>
      </c>
      <c r="B21" s="337">
        <f>SUM(B13:B20)</f>
        <v>465354</v>
      </c>
      <c r="C21" s="337">
        <f>SUM(C13:C20)</f>
        <v>508498</v>
      </c>
      <c r="D21" s="343">
        <f t="shared" si="0"/>
        <v>-43144</v>
      </c>
    </row>
    <row r="22" spans="1:4" ht="7.5" customHeight="1">
      <c r="A22" s="344"/>
      <c r="B22" s="345"/>
      <c r="C22" s="345"/>
      <c r="D22" s="345"/>
    </row>
    <row r="23" spans="1:4" ht="14.25" customHeight="1">
      <c r="A23" s="334" t="s">
        <v>315</v>
      </c>
      <c r="B23" s="345"/>
      <c r="C23" s="345"/>
      <c r="D23" s="345"/>
    </row>
    <row r="24" spans="1:7" ht="12.75">
      <c r="A24" s="346" t="s">
        <v>311</v>
      </c>
      <c r="B24" s="333">
        <v>66614</v>
      </c>
      <c r="C24" s="333">
        <v>42794</v>
      </c>
      <c r="D24" s="333">
        <f aca="true" t="shared" si="1" ref="D24:D31">+B24-C24</f>
        <v>23820</v>
      </c>
      <c r="F24" s="333"/>
      <c r="G24" s="333"/>
    </row>
    <row r="25" spans="1:4" ht="12.75">
      <c r="A25" s="347" t="s">
        <v>270</v>
      </c>
      <c r="B25" s="333">
        <v>347460</v>
      </c>
      <c r="C25" s="333">
        <v>394709</v>
      </c>
      <c r="D25" s="333">
        <f t="shared" si="1"/>
        <v>-47249</v>
      </c>
    </row>
    <row r="26" spans="1:4" s="333" customFormat="1" ht="12.75">
      <c r="A26" s="380" t="s">
        <v>343</v>
      </c>
      <c r="B26" s="381">
        <v>4781</v>
      </c>
      <c r="C26" s="381">
        <f>751+8566+23+885</f>
        <v>10225</v>
      </c>
      <c r="D26" s="381">
        <f t="shared" si="1"/>
        <v>-5444</v>
      </c>
    </row>
    <row r="27" spans="1:4" ht="12.75">
      <c r="A27" s="347" t="s">
        <v>313</v>
      </c>
      <c r="B27" s="333">
        <v>9683</v>
      </c>
      <c r="C27" s="333">
        <v>15375</v>
      </c>
      <c r="D27" s="333">
        <f t="shared" si="1"/>
        <v>-5692</v>
      </c>
    </row>
    <row r="28" spans="1:4" ht="12.75">
      <c r="A28" s="347" t="s">
        <v>314</v>
      </c>
      <c r="B28" s="333">
        <f>10784+48878</f>
        <v>59662</v>
      </c>
      <c r="C28" s="333">
        <v>52370</v>
      </c>
      <c r="D28" s="333">
        <f t="shared" si="1"/>
        <v>7292</v>
      </c>
    </row>
    <row r="29" spans="1:4" s="333" customFormat="1" ht="12.75">
      <c r="A29" s="380" t="s">
        <v>343</v>
      </c>
      <c r="B29" s="381">
        <v>180</v>
      </c>
      <c r="C29" s="381">
        <v>156</v>
      </c>
      <c r="D29" s="381">
        <f>+B29-C29</f>
        <v>24</v>
      </c>
    </row>
    <row r="30" spans="1:4" ht="12.75">
      <c r="A30" s="346" t="s">
        <v>271</v>
      </c>
      <c r="B30" s="333">
        <v>23759</v>
      </c>
      <c r="C30" s="333">
        <v>16882</v>
      </c>
      <c r="D30" s="333">
        <f t="shared" si="1"/>
        <v>6877</v>
      </c>
    </row>
    <row r="31" spans="1:4" ht="12.75">
      <c r="A31" s="348" t="s">
        <v>272</v>
      </c>
      <c r="B31" s="337">
        <f>SUM(B24:B30)-B26-B29</f>
        <v>507178</v>
      </c>
      <c r="C31" s="337">
        <f>SUM(C24:C30)-C26-C29</f>
        <v>522130</v>
      </c>
      <c r="D31" s="337">
        <f t="shared" si="1"/>
        <v>-14952</v>
      </c>
    </row>
    <row r="32" spans="1:4" ht="7.5" customHeight="1">
      <c r="A32" s="333"/>
      <c r="B32" s="333"/>
      <c r="C32" s="333"/>
      <c r="D32" s="333"/>
    </row>
    <row r="33" spans="1:4" ht="13.5" thickBot="1">
      <c r="A33" s="349" t="s">
        <v>322</v>
      </c>
      <c r="B33" s="349">
        <f>+B31+B21+B10</f>
        <v>1443979</v>
      </c>
      <c r="C33" s="349">
        <f>+C31+C21+C10</f>
        <v>1469326</v>
      </c>
      <c r="D33" s="349">
        <f>+B33-C33</f>
        <v>-25347</v>
      </c>
    </row>
    <row r="34" spans="1:4" ht="13.5" thickTop="1">
      <c r="A34" s="333"/>
      <c r="B34" s="333"/>
      <c r="C34" s="333"/>
      <c r="D34" s="333"/>
    </row>
    <row r="35" spans="1:4" ht="12.75">
      <c r="A35" s="333"/>
      <c r="B35" s="333"/>
      <c r="C35" s="333"/>
      <c r="D35" s="333"/>
    </row>
    <row r="36" spans="1:4" ht="12.75">
      <c r="A36" s="350" t="s">
        <v>320</v>
      </c>
      <c r="B36" s="350">
        <f>+B33-'SP ATT IAS'!B35</f>
        <v>0</v>
      </c>
      <c r="C36" s="350">
        <f>+C33-'SP ATT IAS'!C35</f>
        <v>0</v>
      </c>
      <c r="D36" s="350">
        <f>+D33-'SP ATT IAS'!D35</f>
        <v>0</v>
      </c>
    </row>
    <row r="37" spans="2:3" ht="15">
      <c r="B37" s="323"/>
      <c r="C37" s="323"/>
    </row>
    <row r="38" spans="1:3" ht="15">
      <c r="A38" s="333"/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29">
      <selection activeCell="D43" sqref="D43"/>
    </sheetView>
  </sheetViews>
  <sheetFormatPr defaultColWidth="9.140625" defaultRowHeight="12.75"/>
  <cols>
    <col min="1" max="1" width="46.7109375" style="333" bestFit="1" customWidth="1"/>
    <col min="2" max="3" width="11.421875" style="363" customWidth="1"/>
    <col min="4" max="4" width="12.57421875" style="333" customWidth="1"/>
    <col min="5" max="16384" width="9.140625" style="367" customWidth="1"/>
  </cols>
  <sheetData>
    <row r="1" spans="1:4" s="319" customFormat="1" ht="12.75">
      <c r="A1" s="364" t="s">
        <v>138</v>
      </c>
      <c r="B1" s="365"/>
      <c r="C1" s="365"/>
      <c r="D1" s="318"/>
    </row>
    <row r="2" spans="1:4" ht="12.75">
      <c r="A2" s="330" t="s">
        <v>348</v>
      </c>
      <c r="B2" s="383">
        <v>2007</v>
      </c>
      <c r="C2" s="383">
        <v>2006</v>
      </c>
      <c r="D2" s="366" t="s">
        <v>287</v>
      </c>
    </row>
    <row r="3" spans="1:4" ht="12.75">
      <c r="A3" s="368"/>
      <c r="B3" s="338"/>
      <c r="C3" s="338"/>
      <c r="D3" s="338"/>
    </row>
    <row r="4" spans="1:4" ht="12.75">
      <c r="A4" s="369" t="s">
        <v>273</v>
      </c>
      <c r="B4" s="345">
        <v>1692126</v>
      </c>
      <c r="C4" s="345">
        <v>1607412</v>
      </c>
      <c r="D4" s="345">
        <v>84714</v>
      </c>
    </row>
    <row r="5" spans="1:4" ht="12.75">
      <c r="A5" s="380" t="s">
        <v>343</v>
      </c>
      <c r="B5" s="381">
        <v>1</v>
      </c>
      <c r="C5" s="381">
        <v>30</v>
      </c>
      <c r="D5" s="333">
        <v>-29</v>
      </c>
    </row>
    <row r="6" spans="1:4" ht="12.75">
      <c r="A6" s="369"/>
      <c r="B6" s="345"/>
      <c r="C6" s="345"/>
      <c r="D6" s="345"/>
    </row>
    <row r="7" spans="1:4" ht="12.75">
      <c r="A7" s="347" t="s">
        <v>275</v>
      </c>
      <c r="B7" s="333">
        <v>1020442</v>
      </c>
      <c r="C7" s="333">
        <v>946528</v>
      </c>
      <c r="D7" s="333">
        <v>73914</v>
      </c>
    </row>
    <row r="8" spans="1:4" ht="12.75">
      <c r="A8" s="380" t="s">
        <v>343</v>
      </c>
      <c r="B8" s="381">
        <v>51202</v>
      </c>
      <c r="C8" s="381">
        <v>35610</v>
      </c>
      <c r="D8" s="381">
        <v>15592</v>
      </c>
    </row>
    <row r="9" spans="1:4" ht="12.75">
      <c r="A9" s="347" t="s">
        <v>276</v>
      </c>
      <c r="B9" s="333">
        <v>303560</v>
      </c>
      <c r="C9" s="333">
        <v>323073</v>
      </c>
      <c r="D9" s="333">
        <v>-19513</v>
      </c>
    </row>
    <row r="10" spans="1:4" ht="12.75">
      <c r="A10" s="380" t="s">
        <v>343</v>
      </c>
      <c r="B10" s="381">
        <v>1393</v>
      </c>
      <c r="C10" s="381">
        <v>4659</v>
      </c>
      <c r="D10" s="381">
        <v>-3266</v>
      </c>
    </row>
    <row r="11" spans="1:4" ht="12.75">
      <c r="A11" s="380" t="s">
        <v>344</v>
      </c>
      <c r="B11" s="381"/>
      <c r="C11" s="381">
        <v>10276</v>
      </c>
      <c r="D11" s="381">
        <v>-10276</v>
      </c>
    </row>
    <row r="12" spans="1:4" ht="12.75">
      <c r="A12" s="347" t="s">
        <v>277</v>
      </c>
      <c r="B12" s="333">
        <v>237754</v>
      </c>
      <c r="C12" s="333">
        <v>236168</v>
      </c>
      <c r="D12" s="333">
        <v>1586</v>
      </c>
    </row>
    <row r="13" spans="1:4" ht="12.75">
      <c r="A13" s="347" t="s">
        <v>278</v>
      </c>
      <c r="B13" s="367">
        <v>39802</v>
      </c>
      <c r="C13" s="333">
        <v>40225</v>
      </c>
      <c r="D13" s="333">
        <v>-423</v>
      </c>
    </row>
    <row r="14" spans="1:4" ht="12.75">
      <c r="A14" s="347" t="s">
        <v>279</v>
      </c>
      <c r="B14" s="367">
        <v>49724</v>
      </c>
      <c r="C14" s="333">
        <v>49557</v>
      </c>
      <c r="D14" s="333">
        <v>167</v>
      </c>
    </row>
    <row r="15" spans="1:4" ht="12.75">
      <c r="A15" s="347" t="s">
        <v>274</v>
      </c>
      <c r="B15" s="333">
        <v>127487</v>
      </c>
      <c r="C15" s="333">
        <v>128741</v>
      </c>
      <c r="D15" s="333">
        <v>-1254</v>
      </c>
    </row>
    <row r="16" spans="1:4" ht="12.75">
      <c r="A16" s="380" t="s">
        <v>343</v>
      </c>
      <c r="B16" s="381">
        <v>4417</v>
      </c>
      <c r="C16" s="381">
        <v>1762</v>
      </c>
      <c r="D16" s="333">
        <v>2655</v>
      </c>
    </row>
    <row r="17" spans="1:4" ht="12.75">
      <c r="A17" s="347" t="s">
        <v>280</v>
      </c>
      <c r="B17" s="333">
        <v>31754</v>
      </c>
      <c r="C17" s="333">
        <v>26378</v>
      </c>
      <c r="D17" s="333">
        <v>5376</v>
      </c>
    </row>
    <row r="18" spans="1:4" ht="12.75">
      <c r="A18" s="380" t="s">
        <v>343</v>
      </c>
      <c r="B18" s="381">
        <v>14</v>
      </c>
      <c r="C18" s="381">
        <v>36</v>
      </c>
      <c r="D18" s="333">
        <v>-22</v>
      </c>
    </row>
    <row r="19" spans="1:4" ht="13.5" thickBot="1">
      <c r="A19" s="371" t="s">
        <v>281</v>
      </c>
      <c r="B19" s="371">
        <v>136577</v>
      </c>
      <c r="C19" s="371">
        <v>114224</v>
      </c>
      <c r="D19" s="371">
        <v>22353</v>
      </c>
    </row>
    <row r="20" spans="2:3" ht="13.5" thickTop="1">
      <c r="B20" s="333"/>
      <c r="C20" s="333"/>
    </row>
    <row r="21" spans="1:4" ht="12.75">
      <c r="A21" s="333" t="s">
        <v>282</v>
      </c>
      <c r="B21" s="333">
        <v>79</v>
      </c>
      <c r="C21" s="333">
        <v>-17</v>
      </c>
      <c r="D21" s="333">
        <v>96</v>
      </c>
    </row>
    <row r="22" spans="1:4" ht="12.75">
      <c r="A22" s="346" t="s">
        <v>289</v>
      </c>
      <c r="B22" s="333">
        <v>17552</v>
      </c>
      <c r="C22" s="333">
        <v>15476</v>
      </c>
      <c r="D22" s="333">
        <v>2076</v>
      </c>
    </row>
    <row r="23" spans="1:4" ht="12.75">
      <c r="A23" s="346" t="s">
        <v>290</v>
      </c>
      <c r="B23" s="333">
        <v>-50679</v>
      </c>
      <c r="C23" s="333">
        <v>-41445</v>
      </c>
      <c r="D23" s="333">
        <v>-9234</v>
      </c>
    </row>
    <row r="24" spans="1:4" ht="12.75">
      <c r="A24" s="380" t="s">
        <v>343</v>
      </c>
      <c r="B24" s="333"/>
      <c r="C24" s="381">
        <v>0</v>
      </c>
      <c r="D24" s="381">
        <v>0</v>
      </c>
    </row>
    <row r="25" spans="1:4" ht="13.5" thickBot="1">
      <c r="A25" s="349" t="s">
        <v>283</v>
      </c>
      <c r="B25" s="349">
        <v>103529</v>
      </c>
      <c r="C25" s="349">
        <v>88238</v>
      </c>
      <c r="D25" s="349">
        <v>15291</v>
      </c>
    </row>
    <row r="26" spans="2:3" ht="13.5" thickTop="1">
      <c r="B26" s="333"/>
      <c r="C26" s="333"/>
    </row>
    <row r="27" spans="1:4" ht="12.75">
      <c r="A27" s="347" t="s">
        <v>291</v>
      </c>
      <c r="B27" s="333">
        <v>43527</v>
      </c>
      <c r="C27" s="333">
        <v>17893</v>
      </c>
      <c r="D27" s="333">
        <v>25634</v>
      </c>
    </row>
    <row r="28" spans="2:3" ht="12.75">
      <c r="B28" s="333"/>
      <c r="C28" s="333"/>
    </row>
    <row r="29" spans="1:4" ht="13.5" thickBot="1">
      <c r="A29" s="372" t="s">
        <v>292</v>
      </c>
      <c r="B29" s="349">
        <v>60002</v>
      </c>
      <c r="C29" s="349">
        <v>70345</v>
      </c>
      <c r="D29" s="349">
        <v>-10343</v>
      </c>
    </row>
    <row r="30" spans="1:4" ht="13.5" thickTop="1">
      <c r="A30" s="373"/>
      <c r="B30" s="338"/>
      <c r="C30" s="338"/>
      <c r="D30" s="338"/>
    </row>
    <row r="31" spans="1:4" ht="12.75">
      <c r="A31" s="373" t="s">
        <v>297</v>
      </c>
      <c r="B31" s="338"/>
      <c r="C31" s="338"/>
      <c r="D31" s="338"/>
    </row>
    <row r="32" spans="1:4" ht="25.5">
      <c r="A32" s="374" t="s">
        <v>284</v>
      </c>
      <c r="B32" s="345"/>
      <c r="C32" s="345">
        <v>0</v>
      </c>
      <c r="D32" s="345">
        <v>0</v>
      </c>
    </row>
    <row r="33" spans="2:3" ht="12.75">
      <c r="B33" s="333"/>
      <c r="C33" s="333"/>
    </row>
    <row r="34" spans="1:4" ht="13.5" thickBot="1">
      <c r="A34" s="375" t="s">
        <v>293</v>
      </c>
      <c r="B34" s="349">
        <v>60002</v>
      </c>
      <c r="C34" s="349">
        <v>70345</v>
      </c>
      <c r="D34" s="349">
        <v>-10343</v>
      </c>
    </row>
    <row r="35" spans="1:4" ht="13.5" thickTop="1">
      <c r="A35" s="376"/>
      <c r="B35" s="338"/>
      <c r="C35" s="338"/>
      <c r="D35" s="338"/>
    </row>
    <row r="36" spans="1:4" ht="12.75">
      <c r="A36" s="376" t="s">
        <v>294</v>
      </c>
      <c r="B36" s="338"/>
      <c r="C36" s="338"/>
      <c r="D36" s="338"/>
    </row>
    <row r="37" spans="1:4" ht="12.75">
      <c r="A37" s="345" t="s">
        <v>295</v>
      </c>
      <c r="B37" s="345">
        <v>59561</v>
      </c>
      <c r="C37" s="345">
        <v>69976</v>
      </c>
      <c r="D37" s="345">
        <v>-10415</v>
      </c>
    </row>
    <row r="38" spans="1:4" ht="12.75">
      <c r="A38" s="369" t="s">
        <v>296</v>
      </c>
      <c r="B38" s="345">
        <v>441</v>
      </c>
      <c r="C38" s="345">
        <v>369</v>
      </c>
      <c r="D38" s="345">
        <v>72</v>
      </c>
    </row>
    <row r="39" spans="1:4" ht="12.75">
      <c r="A39" s="369"/>
      <c r="B39" s="345"/>
      <c r="C39" s="345"/>
      <c r="D39" s="345"/>
    </row>
    <row r="40" spans="1:4" ht="12.75">
      <c r="A40" s="345" t="s">
        <v>316</v>
      </c>
      <c r="B40" s="379">
        <v>0.15</v>
      </c>
      <c r="C40" s="379">
        <v>0.18</v>
      </c>
      <c r="D40" s="379">
        <f>+B40-C40</f>
        <v>-0.03</v>
      </c>
    </row>
    <row r="41" spans="1:4" ht="12.75">
      <c r="A41" s="345" t="s">
        <v>317</v>
      </c>
      <c r="B41" s="379">
        <v>0.14</v>
      </c>
      <c r="C41" s="379">
        <v>0.17</v>
      </c>
      <c r="D41" s="379">
        <f>+B41-C41</f>
        <v>-0.03</v>
      </c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70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1:3" ht="12.75">
      <c r="A116" s="333" t="s">
        <v>285</v>
      </c>
      <c r="B116" s="333"/>
      <c r="C116" s="333"/>
    </row>
    <row r="117" spans="2:3" ht="12.75">
      <c r="B117" s="333"/>
      <c r="C117" s="333"/>
    </row>
    <row r="118" spans="1:3" ht="12.75">
      <c r="A118" s="345" t="s">
        <v>286</v>
      </c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4" ht="12.75">
      <c r="B163" s="333"/>
      <c r="C163" s="333"/>
      <c r="D163" s="333">
        <v>0</v>
      </c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  <row r="224" spans="2:3" ht="12.75">
      <c r="B224" s="333"/>
      <c r="C224" s="333"/>
    </row>
    <row r="225" spans="2:3" ht="12.75">
      <c r="B225" s="333"/>
      <c r="C225" s="333"/>
    </row>
    <row r="226" spans="2:3" ht="12.75">
      <c r="B226" s="333"/>
      <c r="C226" s="333"/>
    </row>
    <row r="227" spans="2:3" ht="12.75">
      <c r="B227" s="333"/>
      <c r="C227" s="333"/>
    </row>
    <row r="228" spans="2:3" ht="12.75">
      <c r="B228" s="333"/>
      <c r="C228" s="333"/>
    </row>
    <row r="229" spans="2:3" ht="12.75">
      <c r="B229" s="333"/>
      <c r="C229" s="333"/>
    </row>
    <row r="230" spans="2:3" ht="12.75">
      <c r="B230" s="333"/>
      <c r="C230" s="333"/>
    </row>
    <row r="231" spans="2:3" ht="12.75">
      <c r="B231" s="333"/>
      <c r="C231" s="333"/>
    </row>
    <row r="232" spans="2:3" ht="12.75">
      <c r="B232" s="333"/>
      <c r="C232" s="333"/>
    </row>
    <row r="233" spans="2:3" ht="12.75">
      <c r="B233" s="333"/>
      <c r="C233" s="333"/>
    </row>
    <row r="234" spans="2:3" ht="12.75">
      <c r="B234" s="333"/>
      <c r="C234" s="333"/>
    </row>
    <row r="235" spans="2:3" ht="12.75">
      <c r="B235" s="333"/>
      <c r="C235" s="333"/>
    </row>
    <row r="236" spans="2:3" ht="12.75">
      <c r="B236" s="333"/>
      <c r="C236" s="333"/>
    </row>
    <row r="237" spans="2:3" ht="12.75">
      <c r="B237" s="333"/>
      <c r="C237" s="333"/>
    </row>
    <row r="238" spans="2:3" ht="12.75">
      <c r="B238" s="333"/>
      <c r="C238" s="333"/>
    </row>
    <row r="239" spans="2:3" ht="12.75">
      <c r="B239" s="333"/>
      <c r="C239" s="333"/>
    </row>
    <row r="240" spans="2:3" ht="12.75">
      <c r="B240" s="333"/>
      <c r="C240" s="333"/>
    </row>
    <row r="241" spans="2:3" ht="12.75">
      <c r="B241" s="333"/>
      <c r="C241" s="333"/>
    </row>
    <row r="242" spans="2:3" ht="12.75">
      <c r="B242" s="333"/>
      <c r="C242" s="333"/>
    </row>
    <row r="243" spans="2:3" ht="12.75">
      <c r="B243" s="333"/>
      <c r="C243" s="333"/>
    </row>
    <row r="244" spans="2:3" ht="12.75">
      <c r="B244" s="333"/>
      <c r="C244" s="333"/>
    </row>
    <row r="245" spans="2:3" ht="12.75">
      <c r="B245" s="333"/>
      <c r="C245" s="333"/>
    </row>
    <row r="246" spans="2:3" ht="12.75">
      <c r="B246" s="333"/>
      <c r="C246" s="333"/>
    </row>
    <row r="247" spans="2:3" ht="12.75">
      <c r="B247" s="333"/>
      <c r="C247" s="333"/>
    </row>
    <row r="248" spans="2:3" ht="12.75">
      <c r="B248" s="333"/>
      <c r="C248" s="333"/>
    </row>
    <row r="249" spans="2:3" ht="12.75">
      <c r="B249" s="333"/>
      <c r="C249" s="33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35">
      <selection activeCell="A37" sqref="A37:IV67"/>
    </sheetView>
  </sheetViews>
  <sheetFormatPr defaultColWidth="9.140625" defaultRowHeight="12.75"/>
  <cols>
    <col min="1" max="1" width="5.28125" style="333" customWidth="1"/>
    <col min="2" max="2" width="40.140625" style="333" customWidth="1"/>
    <col min="3" max="3" width="17.28125" style="363" customWidth="1"/>
    <col min="4" max="4" width="15.8515625" style="363" bestFit="1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51" t="s">
        <v>326</v>
      </c>
      <c r="B1" s="351"/>
      <c r="C1" s="352"/>
      <c r="D1" s="352"/>
      <c r="E1" s="353"/>
    </row>
    <row r="2" spans="1:5" s="318" customFormat="1" ht="12.75">
      <c r="A2" s="327"/>
      <c r="B2" s="327"/>
      <c r="C2" s="328" t="s">
        <v>319</v>
      </c>
      <c r="D2" s="328" t="s">
        <v>319</v>
      </c>
      <c r="E2" s="329"/>
    </row>
    <row r="3" spans="1:6" ht="15.75" customHeight="1">
      <c r="A3" s="330" t="s">
        <v>318</v>
      </c>
      <c r="B3" s="330"/>
      <c r="C3" s="331" t="str">
        <f>+'SP ATT IAS'!B3</f>
        <v>31 dicembre 2007</v>
      </c>
      <c r="D3" s="331" t="s">
        <v>346</v>
      </c>
      <c r="E3" s="332" t="s">
        <v>287</v>
      </c>
      <c r="F3" s="354"/>
    </row>
    <row r="4" spans="1:6" ht="9.75" customHeight="1">
      <c r="A4" s="355"/>
      <c r="B4" s="355"/>
      <c r="C4" s="356"/>
      <c r="D4" s="356"/>
      <c r="E4" s="357"/>
      <c r="F4" s="354"/>
    </row>
    <row r="5" spans="1:4" ht="12.75">
      <c r="A5" s="360" t="s">
        <v>327</v>
      </c>
      <c r="B5" s="360"/>
      <c r="C5" s="333"/>
      <c r="D5" s="333"/>
    </row>
    <row r="6" spans="1:5" ht="12.75">
      <c r="A6" s="360"/>
      <c r="B6" s="360" t="s">
        <v>329</v>
      </c>
      <c r="C6" s="333">
        <v>-147912</v>
      </c>
      <c r="D6" s="333">
        <v>-169740</v>
      </c>
      <c r="E6" s="333">
        <f>+C6-D6</f>
        <v>21828</v>
      </c>
    </row>
    <row r="7" spans="1:5" ht="12.75">
      <c r="A7" s="360"/>
      <c r="B7" s="360" t="s">
        <v>328</v>
      </c>
      <c r="C7" s="333">
        <v>-9746</v>
      </c>
      <c r="D7" s="333">
        <v>-10430</v>
      </c>
      <c r="E7" s="333">
        <f>+C7-D7</f>
        <v>684</v>
      </c>
    </row>
    <row r="8" spans="1:5" ht="12.75">
      <c r="A8" s="360"/>
      <c r="B8" s="360" t="s">
        <v>330</v>
      </c>
      <c r="C8" s="333">
        <f>-19883+8474</f>
        <v>-11409</v>
      </c>
      <c r="D8" s="333">
        <v>-12607</v>
      </c>
      <c r="E8" s="333">
        <f>+C8-D8</f>
        <v>1198</v>
      </c>
    </row>
    <row r="9" spans="1:5" ht="12.75">
      <c r="A9" s="360"/>
      <c r="B9" s="360" t="s">
        <v>347</v>
      </c>
      <c r="C9" s="333">
        <v>-8474</v>
      </c>
      <c r="D9" s="333">
        <v>-18530</v>
      </c>
      <c r="E9" s="333">
        <f>+C9-D9</f>
        <v>10056</v>
      </c>
    </row>
    <row r="10" spans="1:5" ht="12.75">
      <c r="A10" s="360"/>
      <c r="B10" s="360" t="s">
        <v>340</v>
      </c>
      <c r="C10" s="333"/>
      <c r="D10" s="333"/>
      <c r="E10" s="333">
        <f>+C10-D10</f>
        <v>0</v>
      </c>
    </row>
    <row r="11" spans="1:5" ht="12.75">
      <c r="A11" s="360"/>
      <c r="B11" s="377" t="s">
        <v>331</v>
      </c>
      <c r="C11" s="378">
        <f>SUM(C6:C10)</f>
        <v>-177541</v>
      </c>
      <c r="D11" s="378">
        <f>SUM(D6:D10)</f>
        <v>-211307</v>
      </c>
      <c r="E11" s="378">
        <f>SUM(E6:E10)</f>
        <v>33766</v>
      </c>
    </row>
    <row r="12" spans="1:4" ht="12.75">
      <c r="A12" s="360"/>
      <c r="B12" s="360"/>
      <c r="C12" s="333"/>
      <c r="D12" s="333"/>
    </row>
    <row r="13" spans="1:5" ht="12.75">
      <c r="A13" s="360" t="s">
        <v>324</v>
      </c>
      <c r="B13" s="360"/>
      <c r="C13" s="333">
        <v>-145380</v>
      </c>
      <c r="D13" s="333">
        <v>-144628</v>
      </c>
      <c r="E13" s="333">
        <f>+C13-D13</f>
        <v>-752</v>
      </c>
    </row>
    <row r="14" spans="1:4" ht="12.75">
      <c r="A14" s="360"/>
      <c r="B14" s="360"/>
      <c r="C14" s="333"/>
      <c r="D14" s="333"/>
    </row>
    <row r="15" spans="1:4" ht="12.75">
      <c r="A15" s="360" t="s">
        <v>332</v>
      </c>
      <c r="B15" s="360"/>
      <c r="C15" s="333"/>
      <c r="D15" s="333"/>
    </row>
    <row r="16" spans="1:5" ht="12.75">
      <c r="A16" s="360"/>
      <c r="B16" s="360" t="s">
        <v>333</v>
      </c>
      <c r="C16" s="333">
        <v>-6472</v>
      </c>
      <c r="D16" s="333">
        <v>-2218</v>
      </c>
      <c r="E16" s="333">
        <f aca="true" t="shared" si="0" ref="E16:E23">+C16-D16</f>
        <v>-4254</v>
      </c>
    </row>
    <row r="17" spans="1:5" ht="12.75">
      <c r="A17" s="360"/>
      <c r="B17" s="360" t="s">
        <v>334</v>
      </c>
      <c r="C17" s="333">
        <v>-12601</v>
      </c>
      <c r="D17" s="333">
        <v>-952</v>
      </c>
      <c r="E17" s="333">
        <f t="shared" si="0"/>
        <v>-11649</v>
      </c>
    </row>
    <row r="18" spans="1:5" ht="12.75">
      <c r="A18" s="360"/>
      <c r="B18" s="360" t="s">
        <v>335</v>
      </c>
      <c r="C18" s="333">
        <v>-9332</v>
      </c>
      <c r="D18" s="333">
        <v>-4464</v>
      </c>
      <c r="E18" s="333">
        <f t="shared" si="0"/>
        <v>-4868</v>
      </c>
    </row>
    <row r="19" spans="1:5" ht="12.75">
      <c r="A19" s="360"/>
      <c r="B19" s="360" t="s">
        <v>336</v>
      </c>
      <c r="C19" s="333">
        <f>-34824+6322</f>
        <v>-28502</v>
      </c>
      <c r="D19" s="333">
        <v>-19236</v>
      </c>
      <c r="E19" s="333">
        <f t="shared" si="0"/>
        <v>-9266</v>
      </c>
    </row>
    <row r="20" spans="1:5" ht="12.75">
      <c r="A20" s="360"/>
      <c r="B20" s="360" t="s">
        <v>328</v>
      </c>
      <c r="C20" s="333">
        <v>-695</v>
      </c>
      <c r="D20" s="333">
        <v>-940</v>
      </c>
      <c r="E20" s="333">
        <f t="shared" si="0"/>
        <v>245</v>
      </c>
    </row>
    <row r="21" spans="1:5" ht="12.75">
      <c r="A21" s="360"/>
      <c r="B21" s="360" t="s">
        <v>330</v>
      </c>
      <c r="C21" s="333">
        <v>-2690</v>
      </c>
      <c r="D21" s="333">
        <v>-14984</v>
      </c>
      <c r="E21" s="333">
        <f t="shared" si="0"/>
        <v>12294</v>
      </c>
    </row>
    <row r="22" spans="1:5" ht="12.75">
      <c r="A22" s="360"/>
      <c r="B22" s="360" t="s">
        <v>347</v>
      </c>
      <c r="C22" s="333">
        <v>-6322</v>
      </c>
      <c r="D22" s="333">
        <v>0</v>
      </c>
      <c r="E22" s="333">
        <f>+C22-D22</f>
        <v>-6322</v>
      </c>
    </row>
    <row r="23" spans="1:5" ht="12.75">
      <c r="A23" s="360"/>
      <c r="B23" s="360" t="s">
        <v>340</v>
      </c>
      <c r="C23" s="333"/>
      <c r="D23" s="333"/>
      <c r="E23" s="333">
        <f t="shared" si="0"/>
        <v>0</v>
      </c>
    </row>
    <row r="24" spans="1:5" s="378" customFormat="1" ht="12.75">
      <c r="A24" s="377"/>
      <c r="B24" s="377" t="s">
        <v>331</v>
      </c>
      <c r="C24" s="378">
        <f>SUM(C16:C23)</f>
        <v>-66614</v>
      </c>
      <c r="D24" s="378">
        <f>SUM(D16:D23)</f>
        <v>-42794</v>
      </c>
      <c r="E24" s="378">
        <f>SUM(E16:E23)</f>
        <v>-23820</v>
      </c>
    </row>
    <row r="25" spans="1:4" ht="12.75">
      <c r="A25" s="360"/>
      <c r="B25" s="360"/>
      <c r="C25" s="333"/>
      <c r="D25" s="333"/>
    </row>
    <row r="26" spans="1:4" ht="12.75">
      <c r="A26" s="360" t="s">
        <v>341</v>
      </c>
      <c r="B26" s="360"/>
      <c r="C26" s="333"/>
      <c r="D26" s="333"/>
    </row>
    <row r="27" spans="1:5" ht="12.75">
      <c r="A27" s="360"/>
      <c r="B27" s="360" t="s">
        <v>337</v>
      </c>
      <c r="C27" s="333">
        <v>435</v>
      </c>
      <c r="D27" s="333"/>
      <c r="E27" s="333">
        <f>+C27-D27</f>
        <v>435</v>
      </c>
    </row>
    <row r="28" spans="1:5" ht="12.75">
      <c r="A28" s="360"/>
      <c r="B28" s="360" t="s">
        <v>338</v>
      </c>
      <c r="C28" s="333">
        <v>58</v>
      </c>
      <c r="D28" s="333">
        <v>30</v>
      </c>
      <c r="E28" s="333">
        <f>+C28-D28</f>
        <v>28</v>
      </c>
    </row>
    <row r="29" spans="1:5" ht="12.75">
      <c r="A29" s="360"/>
      <c r="B29" s="360" t="s">
        <v>342</v>
      </c>
      <c r="C29" s="333">
        <v>17925</v>
      </c>
      <c r="D29" s="333">
        <v>11836</v>
      </c>
      <c r="E29" s="333">
        <f>+C29-D29</f>
        <v>6089</v>
      </c>
    </row>
    <row r="30" spans="1:5" ht="12.75">
      <c r="A30" s="360"/>
      <c r="B30" s="377" t="s">
        <v>331</v>
      </c>
      <c r="C30" s="378">
        <f>SUM(C26:C29)</f>
        <v>18418</v>
      </c>
      <c r="D30" s="378">
        <f>SUM(D26:D29)</f>
        <v>11866</v>
      </c>
      <c r="E30" s="378">
        <f>SUM(E26:E29)</f>
        <v>6552</v>
      </c>
    </row>
    <row r="31" spans="1:4" ht="12.75">
      <c r="A31" s="360"/>
      <c r="B31" s="360"/>
      <c r="C31" s="333"/>
      <c r="D31" s="333"/>
    </row>
    <row r="32" spans="1:5" ht="12.75">
      <c r="A32" s="360" t="s">
        <v>325</v>
      </c>
      <c r="B32" s="360"/>
      <c r="C32" s="333">
        <v>101334</v>
      </c>
      <c r="D32" s="333">
        <v>68857</v>
      </c>
      <c r="E32" s="333">
        <f>+C32-D32</f>
        <v>32477</v>
      </c>
    </row>
    <row r="33" spans="1:4" ht="12.75">
      <c r="A33" s="360"/>
      <c r="B33" s="360"/>
      <c r="C33" s="333"/>
      <c r="D33" s="333"/>
    </row>
    <row r="34" spans="1:5" ht="12.75">
      <c r="A34" s="361" t="s">
        <v>339</v>
      </c>
      <c r="B34" s="361"/>
      <c r="C34" s="361">
        <f>+C11+C13+C24+C32+C30</f>
        <v>-269783</v>
      </c>
      <c r="D34" s="361">
        <f>+D11+D13+D24+D32+D30</f>
        <v>-318006</v>
      </c>
      <c r="E34" s="361">
        <f>+E11+E13+E24+E32+E30</f>
        <v>48223</v>
      </c>
    </row>
    <row r="35" spans="3:4" ht="11.25" customHeight="1">
      <c r="C35" s="333"/>
      <c r="D35" s="333"/>
    </row>
    <row r="36" spans="3:4" ht="12.75">
      <c r="C36" s="333"/>
      <c r="D36" s="333"/>
    </row>
    <row r="37" spans="2:5" ht="12.75">
      <c r="B37" s="334" t="s">
        <v>352</v>
      </c>
      <c r="C37"/>
      <c r="D37"/>
      <c r="E37"/>
    </row>
    <row r="38" spans="2:5" ht="25.5">
      <c r="B38" s="384" t="s">
        <v>318</v>
      </c>
      <c r="C38" s="385" t="s">
        <v>366</v>
      </c>
      <c r="D38" s="385" t="s">
        <v>367</v>
      </c>
      <c r="E38" s="366" t="s">
        <v>287</v>
      </c>
    </row>
    <row r="39" spans="2:5" ht="12.75">
      <c r="B39"/>
      <c r="C39"/>
      <c r="D39"/>
      <c r="E39"/>
    </row>
    <row r="40" spans="2:5" ht="12.75">
      <c r="B40" s="9" t="s">
        <v>353</v>
      </c>
      <c r="C40" s="345">
        <f>+C32</f>
        <v>101334</v>
      </c>
      <c r="D40" s="345">
        <f>+D32</f>
        <v>68857</v>
      </c>
      <c r="E40" s="345">
        <f>+C40-D40</f>
        <v>32477</v>
      </c>
    </row>
    <row r="41" spans="2:4" ht="12.75">
      <c r="B41"/>
      <c r="C41" s="333"/>
      <c r="D41" s="333"/>
    </row>
    <row r="42" spans="2:5" ht="12.75">
      <c r="B42" t="s">
        <v>354</v>
      </c>
      <c r="C42" s="333">
        <f aca="true" t="shared" si="1" ref="C42:D44">+C27</f>
        <v>435</v>
      </c>
      <c r="D42" s="333">
        <f t="shared" si="1"/>
        <v>0</v>
      </c>
      <c r="E42" s="333">
        <f>+C42-D42</f>
        <v>435</v>
      </c>
    </row>
    <row r="43" spans="2:5" ht="12.75">
      <c r="B43" t="s">
        <v>355</v>
      </c>
      <c r="C43" s="333">
        <f t="shared" si="1"/>
        <v>58</v>
      </c>
      <c r="D43" s="333">
        <f t="shared" si="1"/>
        <v>30</v>
      </c>
      <c r="E43" s="333">
        <f>+C43-D43</f>
        <v>28</v>
      </c>
    </row>
    <row r="44" spans="2:5" ht="12.75">
      <c r="B44" t="s">
        <v>342</v>
      </c>
      <c r="C44" s="333">
        <f t="shared" si="1"/>
        <v>17925</v>
      </c>
      <c r="D44" s="333">
        <f t="shared" si="1"/>
        <v>11836</v>
      </c>
      <c r="E44" s="333">
        <f>+C44-D44</f>
        <v>6089</v>
      </c>
    </row>
    <row r="45" spans="2:5" ht="12.75">
      <c r="B45" s="9" t="s">
        <v>356</v>
      </c>
      <c r="C45" s="345">
        <f>SUM(C42:C44)</f>
        <v>18418</v>
      </c>
      <c r="D45" s="345">
        <f>SUM(D42:D44)</f>
        <v>11866</v>
      </c>
      <c r="E45" s="345">
        <f>SUM(E42:E44)</f>
        <v>6552</v>
      </c>
    </row>
    <row r="46" spans="2:4" ht="12.75">
      <c r="B46"/>
      <c r="C46" s="333"/>
      <c r="D46" s="333"/>
    </row>
    <row r="47" spans="2:5" ht="12.75">
      <c r="B47" t="s">
        <v>357</v>
      </c>
      <c r="C47" s="333">
        <f>+C17+C16</f>
        <v>-19073</v>
      </c>
      <c r="D47" s="333">
        <f>+D17+D16</f>
        <v>-3170</v>
      </c>
      <c r="E47" s="333">
        <f aca="true" t="shared" si="2" ref="E47:E52">+C47-D47</f>
        <v>-15903</v>
      </c>
    </row>
    <row r="48" spans="2:5" ht="12.75">
      <c r="B48" t="s">
        <v>358</v>
      </c>
      <c r="C48" s="333">
        <f>+C19</f>
        <v>-28502</v>
      </c>
      <c r="D48" s="333">
        <f>+D19</f>
        <v>-19236</v>
      </c>
      <c r="E48" s="333">
        <f t="shared" si="2"/>
        <v>-9266</v>
      </c>
    </row>
    <row r="49" spans="2:5" ht="12.75">
      <c r="B49" t="s">
        <v>335</v>
      </c>
      <c r="C49" s="333">
        <f>+C18</f>
        <v>-9332</v>
      </c>
      <c r="D49" s="333">
        <f>+D18</f>
        <v>-4464</v>
      </c>
      <c r="E49" s="333">
        <f t="shared" si="2"/>
        <v>-4868</v>
      </c>
    </row>
    <row r="50" spans="2:5" ht="12.75">
      <c r="B50" t="s">
        <v>328</v>
      </c>
      <c r="C50" s="333">
        <f aca="true" t="shared" si="3" ref="C50:D52">+C20</f>
        <v>-695</v>
      </c>
      <c r="D50" s="333">
        <f t="shared" si="3"/>
        <v>-940</v>
      </c>
      <c r="E50" s="333">
        <f t="shared" si="2"/>
        <v>245</v>
      </c>
    </row>
    <row r="51" spans="2:5" ht="12.75">
      <c r="B51" t="s">
        <v>359</v>
      </c>
      <c r="C51" s="333">
        <f t="shared" si="3"/>
        <v>-2690</v>
      </c>
      <c r="D51" s="333">
        <f t="shared" si="3"/>
        <v>-14984</v>
      </c>
      <c r="E51" s="333">
        <f t="shared" si="2"/>
        <v>12294</v>
      </c>
    </row>
    <row r="52" spans="2:5" ht="12.75">
      <c r="B52" t="s">
        <v>347</v>
      </c>
      <c r="C52" s="333">
        <f t="shared" si="3"/>
        <v>-6322</v>
      </c>
      <c r="D52" s="333">
        <f t="shared" si="3"/>
        <v>0</v>
      </c>
      <c r="E52" s="333">
        <f t="shared" si="2"/>
        <v>-6322</v>
      </c>
    </row>
    <row r="53" spans="2:5" ht="12.75">
      <c r="B53" s="9" t="s">
        <v>360</v>
      </c>
      <c r="C53" s="345">
        <f>SUM(C47:C52)</f>
        <v>-66614</v>
      </c>
      <c r="D53" s="345">
        <f>SUM(D47:D52)</f>
        <v>-42794</v>
      </c>
      <c r="E53" s="345">
        <f>SUM(E47:E52)</f>
        <v>-23820</v>
      </c>
    </row>
    <row r="54" spans="2:4" ht="12.75">
      <c r="B54"/>
      <c r="C54" s="333"/>
      <c r="D54" s="333"/>
    </row>
    <row r="55" spans="2:5" ht="12.75">
      <c r="B55" s="9" t="s">
        <v>361</v>
      </c>
      <c r="C55" s="345">
        <f>+C53+C45+C40</f>
        <v>53138</v>
      </c>
      <c r="D55" s="345">
        <f>+D53+D45+D40</f>
        <v>37929</v>
      </c>
      <c r="E55" s="345">
        <f>+E53+E45+E40</f>
        <v>15209</v>
      </c>
    </row>
    <row r="56" spans="2:4" ht="12.75">
      <c r="B56"/>
      <c r="C56" s="333"/>
      <c r="D56" s="333"/>
    </row>
    <row r="57" spans="2:5" ht="12.75">
      <c r="B57" t="s">
        <v>362</v>
      </c>
      <c r="C57" s="333">
        <f>+C6</f>
        <v>-147912</v>
      </c>
      <c r="D57" s="333">
        <f>+D6</f>
        <v>-169740</v>
      </c>
      <c r="E57" s="333">
        <f>+C57-D57</f>
        <v>21828</v>
      </c>
    </row>
    <row r="58" spans="2:5" ht="12.75">
      <c r="B58" t="s">
        <v>363</v>
      </c>
      <c r="C58" s="333">
        <f>+C13</f>
        <v>-145380</v>
      </c>
      <c r="D58" s="333">
        <f>+D13</f>
        <v>-144628</v>
      </c>
      <c r="E58" s="333">
        <f>+C58-D58</f>
        <v>-752</v>
      </c>
    </row>
    <row r="59" spans="2:5" ht="12.75">
      <c r="B59" t="s">
        <v>328</v>
      </c>
      <c r="C59" s="333">
        <f aca="true" t="shared" si="4" ref="C59:D62">+C7</f>
        <v>-9746</v>
      </c>
      <c r="D59" s="333">
        <f t="shared" si="4"/>
        <v>-10430</v>
      </c>
      <c r="E59" s="333">
        <f>+C59-D59</f>
        <v>684</v>
      </c>
    </row>
    <row r="60" spans="2:5" ht="12.75">
      <c r="B60" t="s">
        <v>330</v>
      </c>
      <c r="C60" s="333">
        <f t="shared" si="4"/>
        <v>-11409</v>
      </c>
      <c r="D60" s="333">
        <f t="shared" si="4"/>
        <v>-12607</v>
      </c>
      <c r="E60" s="333">
        <f>+C60-D60</f>
        <v>1198</v>
      </c>
    </row>
    <row r="61" spans="2:5" ht="12.75">
      <c r="B61" t="s">
        <v>347</v>
      </c>
      <c r="C61" s="333">
        <f t="shared" si="4"/>
        <v>-8474</v>
      </c>
      <c r="D61" s="333">
        <f t="shared" si="4"/>
        <v>-18530</v>
      </c>
      <c r="E61" s="333">
        <f>+C61-D61</f>
        <v>10056</v>
      </c>
    </row>
    <row r="62" spans="2:4" ht="12.75">
      <c r="B62" s="360" t="s">
        <v>340</v>
      </c>
      <c r="C62" s="333">
        <f t="shared" si="4"/>
        <v>0</v>
      </c>
      <c r="D62" s="333">
        <f t="shared" si="4"/>
        <v>0</v>
      </c>
    </row>
    <row r="63" spans="2:4" ht="12.75">
      <c r="B63"/>
      <c r="C63" s="333"/>
      <c r="D63" s="333"/>
    </row>
    <row r="64" spans="2:5" ht="12.75">
      <c r="B64" s="9" t="s">
        <v>364</v>
      </c>
      <c r="C64" s="345">
        <f>SUM(C57:C63)</f>
        <v>-322921</v>
      </c>
      <c r="D64" s="345">
        <f>SUM(D57:D63)</f>
        <v>-355935</v>
      </c>
      <c r="E64" s="345">
        <f>SUM(E57:E63)</f>
        <v>33014</v>
      </c>
    </row>
    <row r="65" spans="2:5" ht="13.5" thickBot="1">
      <c r="B65"/>
      <c r="C65" s="386"/>
      <c r="D65" s="386"/>
      <c r="E65" s="386"/>
    </row>
    <row r="66" spans="2:5" ht="13.5" thickBot="1">
      <c r="B66" s="387" t="s">
        <v>365</v>
      </c>
      <c r="C66" s="388">
        <f>+C64+C55</f>
        <v>-269783</v>
      </c>
      <c r="D66" s="388">
        <f>+D64+D55</f>
        <v>-318006</v>
      </c>
      <c r="E66" s="388">
        <f>+E64+E55</f>
        <v>48223</v>
      </c>
    </row>
    <row r="67" spans="2:5" ht="12.75">
      <c r="B67"/>
      <c r="C67"/>
      <c r="D67"/>
      <c r="E67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4" ht="12.75">
      <c r="C131" s="333"/>
      <c r="D131" s="333"/>
    </row>
    <row r="132" spans="3:4" ht="12.75">
      <c r="C132" s="333"/>
      <c r="D132" s="333"/>
    </row>
    <row r="133" spans="3:5" ht="12.75">
      <c r="C133" s="333"/>
      <c r="D133" s="333"/>
      <c r="E133" s="333" t="e">
        <f>+E131+E128+E95+#REF!+E85+#REF!</f>
        <v>#REF!</v>
      </c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  <row r="218" spans="3:4" ht="12.75">
      <c r="C218" s="333"/>
      <c r="D218" s="333"/>
    </row>
    <row r="219" spans="3:4" ht="12.75">
      <c r="C219" s="333"/>
      <c r="D219" s="33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3" t="s">
        <v>231</v>
      </c>
      <c r="C1" s="394"/>
      <c r="D1" s="395"/>
      <c r="E1" s="393" t="s">
        <v>237</v>
      </c>
      <c r="F1" s="394"/>
      <c r="G1" s="395"/>
      <c r="H1" s="394" t="s">
        <v>233</v>
      </c>
      <c r="I1" s="394"/>
      <c r="J1" s="395"/>
      <c r="K1" s="393" t="s">
        <v>234</v>
      </c>
      <c r="L1" s="394"/>
      <c r="M1" s="394"/>
      <c r="N1" s="393" t="s">
        <v>238</v>
      </c>
      <c r="O1" s="394"/>
      <c r="P1" s="395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6" t="s">
        <v>231</v>
      </c>
      <c r="C10" s="397"/>
      <c r="D10" s="398"/>
      <c r="E10" s="396" t="s">
        <v>232</v>
      </c>
      <c r="F10" s="397"/>
      <c r="G10" s="398"/>
      <c r="H10" s="396"/>
      <c r="I10" s="397"/>
      <c r="J10" s="398"/>
      <c r="K10" s="396"/>
      <c r="L10" s="397"/>
      <c r="M10" s="398"/>
      <c r="N10" s="396"/>
      <c r="O10" s="397"/>
      <c r="P10" s="398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60.00390625" style="402" customWidth="1"/>
    <col min="2" max="2" width="15.421875" style="402" customWidth="1"/>
    <col min="3" max="3" width="15.8515625" style="402" customWidth="1"/>
    <col min="4" max="4" width="13.7109375" style="402" customWidth="1"/>
    <col min="5" max="16384" width="9.140625" style="402" customWidth="1"/>
  </cols>
  <sheetData>
    <row r="1" spans="1:4" ht="10.5">
      <c r="A1" s="399" t="s">
        <v>318</v>
      </c>
      <c r="B1" s="400">
        <v>2007</v>
      </c>
      <c r="C1" s="400">
        <v>2006</v>
      </c>
      <c r="D1" s="401" t="s">
        <v>287</v>
      </c>
    </row>
    <row r="2" spans="1:4" ht="10.5">
      <c r="A2" s="403" t="s">
        <v>368</v>
      </c>
      <c r="B2" s="404"/>
      <c r="C2" s="404"/>
      <c r="D2" s="404"/>
    </row>
    <row r="3" spans="1:4" ht="10.5">
      <c r="A3" s="402" t="s">
        <v>293</v>
      </c>
      <c r="B3" s="405">
        <v>59561</v>
      </c>
      <c r="C3" s="405">
        <v>69976</v>
      </c>
      <c r="D3" s="405">
        <f>+B3-C3</f>
        <v>-10415</v>
      </c>
    </row>
    <row r="4" spans="1:4" ht="10.5">
      <c r="A4" s="402" t="s">
        <v>369</v>
      </c>
      <c r="B4" s="405">
        <v>441</v>
      </c>
      <c r="C4" s="405">
        <v>369</v>
      </c>
      <c r="D4" s="405">
        <f aca="true" t="shared" si="0" ref="D4:D28">+B4-C4</f>
        <v>72</v>
      </c>
    </row>
    <row r="5" spans="1:4" ht="10.5">
      <c r="A5" s="402" t="s">
        <v>370</v>
      </c>
      <c r="B5" s="405">
        <v>43527</v>
      </c>
      <c r="C5" s="405">
        <v>17893</v>
      </c>
      <c r="D5" s="405">
        <f t="shared" si="0"/>
        <v>25634</v>
      </c>
    </row>
    <row r="6" spans="1:4" ht="10.5">
      <c r="A6" s="402" t="s">
        <v>371</v>
      </c>
      <c r="B6" s="405">
        <v>39802</v>
      </c>
      <c r="C6" s="405">
        <v>40225</v>
      </c>
      <c r="D6" s="405">
        <f t="shared" si="0"/>
        <v>-423</v>
      </c>
    </row>
    <row r="7" spans="1:4" ht="10.5">
      <c r="A7" s="402" t="s">
        <v>372</v>
      </c>
      <c r="B7" s="405">
        <v>49724</v>
      </c>
      <c r="C7" s="405">
        <v>49557</v>
      </c>
      <c r="D7" s="405">
        <f t="shared" si="0"/>
        <v>167</v>
      </c>
    </row>
    <row r="8" spans="1:4" ht="10.5">
      <c r="A8" s="402" t="s">
        <v>373</v>
      </c>
      <c r="B8" s="405">
        <v>1749</v>
      </c>
      <c r="C8" s="405">
        <v>2561</v>
      </c>
      <c r="D8" s="405">
        <f t="shared" si="0"/>
        <v>-812</v>
      </c>
    </row>
    <row r="9" spans="1:4" ht="10.5">
      <c r="A9" s="402" t="s">
        <v>374</v>
      </c>
      <c r="B9" s="405">
        <v>14375</v>
      </c>
      <c r="C9" s="405">
        <v>28861</v>
      </c>
      <c r="D9" s="405">
        <f t="shared" si="0"/>
        <v>-14486</v>
      </c>
    </row>
    <row r="10" spans="1:4" ht="10.5">
      <c r="A10" s="402" t="s">
        <v>375</v>
      </c>
      <c r="B10" s="405">
        <v>4226</v>
      </c>
      <c r="C10" s="405">
        <v>1652</v>
      </c>
      <c r="D10" s="405">
        <f t="shared" si="0"/>
        <v>2574</v>
      </c>
    </row>
    <row r="11" spans="1:4" ht="10.5">
      <c r="A11" s="402" t="s">
        <v>376</v>
      </c>
      <c r="B11" s="405">
        <v>-138</v>
      </c>
      <c r="C11" s="405">
        <v>-4265</v>
      </c>
      <c r="D11" s="405">
        <f t="shared" si="0"/>
        <v>4127</v>
      </c>
    </row>
    <row r="12" spans="1:4" ht="10.5">
      <c r="A12" s="402" t="s">
        <v>377</v>
      </c>
      <c r="B12" s="405">
        <v>-5</v>
      </c>
      <c r="C12" s="405"/>
      <c r="D12" s="405">
        <f t="shared" si="0"/>
        <v>-5</v>
      </c>
    </row>
    <row r="13" spans="1:4" ht="10.5">
      <c r="A13" s="402" t="s">
        <v>289</v>
      </c>
      <c r="B13" s="405">
        <v>-2858</v>
      </c>
      <c r="C13" s="405">
        <v>-15476</v>
      </c>
      <c r="D13" s="405">
        <f t="shared" si="0"/>
        <v>12618</v>
      </c>
    </row>
    <row r="14" spans="1:4" ht="10.5">
      <c r="A14" s="402" t="s">
        <v>290</v>
      </c>
      <c r="B14" s="405">
        <v>32695</v>
      </c>
      <c r="C14" s="405">
        <v>41445</v>
      </c>
      <c r="D14" s="405">
        <f t="shared" si="0"/>
        <v>-8750</v>
      </c>
    </row>
    <row r="15" spans="1:4" ht="10.5">
      <c r="A15" s="402" t="s">
        <v>378</v>
      </c>
      <c r="B15" s="405">
        <v>-1728</v>
      </c>
      <c r="C15" s="405">
        <v>-381</v>
      </c>
      <c r="D15" s="405">
        <f t="shared" si="0"/>
        <v>-1347</v>
      </c>
    </row>
    <row r="16" spans="1:4" ht="10.5">
      <c r="A16" s="402" t="s">
        <v>379</v>
      </c>
      <c r="B16" s="405">
        <v>9</v>
      </c>
      <c r="C16" s="405"/>
      <c r="D16" s="405">
        <f t="shared" si="0"/>
        <v>9</v>
      </c>
    </row>
    <row r="17" spans="1:4" ht="10.5">
      <c r="A17" s="403" t="s">
        <v>380</v>
      </c>
      <c r="B17" s="405"/>
      <c r="C17" s="405"/>
      <c r="D17" s="405"/>
    </row>
    <row r="18" spans="1:7" ht="10.5">
      <c r="A18" s="402" t="s">
        <v>381</v>
      </c>
      <c r="B18" s="405">
        <v>19564</v>
      </c>
      <c r="C18" s="405">
        <v>15781</v>
      </c>
      <c r="D18" s="405">
        <f t="shared" si="0"/>
        <v>3783</v>
      </c>
      <c r="G18" s="406"/>
    </row>
    <row r="19" spans="1:7" ht="10.5">
      <c r="A19" s="402" t="s">
        <v>382</v>
      </c>
      <c r="B19" s="405">
        <v>37176</v>
      </c>
      <c r="C19" s="405">
        <v>-38710</v>
      </c>
      <c r="D19" s="405">
        <f t="shared" si="0"/>
        <v>75886</v>
      </c>
      <c r="G19" s="406"/>
    </row>
    <row r="20" spans="1:4" ht="10.5">
      <c r="A20" s="402" t="s">
        <v>383</v>
      </c>
      <c r="B20" s="405">
        <v>7777</v>
      </c>
      <c r="C20" s="405">
        <v>-41277</v>
      </c>
      <c r="D20" s="405">
        <f t="shared" si="0"/>
        <v>49054</v>
      </c>
    </row>
    <row r="21" spans="1:7" ht="10.5">
      <c r="A21" s="402" t="s">
        <v>384</v>
      </c>
      <c r="B21" s="405">
        <v>-47405</v>
      </c>
      <c r="C21" s="405">
        <v>98026</v>
      </c>
      <c r="D21" s="405">
        <f t="shared" si="0"/>
        <v>-145431</v>
      </c>
      <c r="G21" s="406"/>
    </row>
    <row r="22" spans="1:7" ht="10.5">
      <c r="A22" s="402" t="s">
        <v>385</v>
      </c>
      <c r="B22" s="405">
        <v>16521</v>
      </c>
      <c r="C22" s="405">
        <v>25860</v>
      </c>
      <c r="D22" s="405">
        <f t="shared" si="0"/>
        <v>-9339</v>
      </c>
      <c r="G22" s="406"/>
    </row>
    <row r="23" spans="1:4" s="407" customFormat="1" ht="10.5">
      <c r="A23" s="407" t="s">
        <v>386</v>
      </c>
      <c r="B23" s="408">
        <v>-10624</v>
      </c>
      <c r="C23" s="408">
        <v>-42329</v>
      </c>
      <c r="D23" s="408">
        <f t="shared" si="0"/>
        <v>31705</v>
      </c>
    </row>
    <row r="24" spans="1:4" ht="10.5">
      <c r="A24" s="402" t="s">
        <v>387</v>
      </c>
      <c r="B24" s="405">
        <v>-14755</v>
      </c>
      <c r="C24" s="405">
        <v>-10717</v>
      </c>
      <c r="D24" s="405">
        <f t="shared" si="0"/>
        <v>-4038</v>
      </c>
    </row>
    <row r="25" spans="1:4" ht="10.5">
      <c r="A25" s="402" t="s">
        <v>388</v>
      </c>
      <c r="B25" s="405">
        <f>-38179-1749</f>
        <v>-39928</v>
      </c>
      <c r="C25" s="408">
        <v>-12494</v>
      </c>
      <c r="D25" s="405">
        <f t="shared" si="0"/>
        <v>-27434</v>
      </c>
    </row>
    <row r="26" spans="1:7" ht="10.5">
      <c r="A26" s="409" t="s">
        <v>389</v>
      </c>
      <c r="B26" s="410">
        <f>SUM(B3:B25)</f>
        <v>209706</v>
      </c>
      <c r="C26" s="410">
        <f>SUM(C3:C25)</f>
        <v>226557</v>
      </c>
      <c r="D26" s="410">
        <f>SUM(D3:D25)</f>
        <v>-16851</v>
      </c>
      <c r="G26" s="406"/>
    </row>
    <row r="27" spans="1:4" ht="10.5">
      <c r="A27" s="402" t="s">
        <v>390</v>
      </c>
      <c r="B27" s="405">
        <v>-17764</v>
      </c>
      <c r="C27" s="405">
        <v>-39921</v>
      </c>
      <c r="D27" s="405">
        <f t="shared" si="0"/>
        <v>22157</v>
      </c>
    </row>
    <row r="28" spans="1:4" ht="10.5">
      <c r="A28" s="402" t="s">
        <v>391</v>
      </c>
      <c r="B28" s="405">
        <v>-23519</v>
      </c>
      <c r="C28" s="405">
        <v>-26328</v>
      </c>
      <c r="D28" s="405">
        <f t="shared" si="0"/>
        <v>2809</v>
      </c>
    </row>
    <row r="29" spans="1:4" ht="10.5">
      <c r="A29" s="409" t="s">
        <v>392</v>
      </c>
      <c r="B29" s="410">
        <f>SUM(B26:B28)</f>
        <v>168423</v>
      </c>
      <c r="C29" s="410">
        <f>SUM(C26:C28)</f>
        <v>160308</v>
      </c>
      <c r="D29" s="410">
        <f>SUM(D26:D28)</f>
        <v>8115</v>
      </c>
    </row>
    <row r="30" spans="2:4" ht="10.5">
      <c r="B30" s="405"/>
      <c r="C30" s="405"/>
      <c r="D30" s="405"/>
    </row>
    <row r="31" spans="1:4" ht="10.5">
      <c r="A31" s="403" t="s">
        <v>393</v>
      </c>
      <c r="B31" s="405"/>
      <c r="C31" s="405"/>
      <c r="D31" s="405"/>
    </row>
    <row r="32" spans="1:4" ht="10.5">
      <c r="A32" s="402" t="s">
        <v>394</v>
      </c>
      <c r="B32" s="405">
        <v>-36184</v>
      </c>
      <c r="C32" s="405">
        <v>-41636</v>
      </c>
      <c r="D32" s="405">
        <f aca="true" t="shared" si="1" ref="D32:D41">+B32-C32</f>
        <v>5452</v>
      </c>
    </row>
    <row r="33" spans="1:4" ht="10.5">
      <c r="A33" s="402" t="s">
        <v>395</v>
      </c>
      <c r="B33" s="405">
        <v>1684</v>
      </c>
      <c r="C33" s="405">
        <f>6050</f>
        <v>6050</v>
      </c>
      <c r="D33" s="405">
        <f t="shared" si="1"/>
        <v>-4366</v>
      </c>
    </row>
    <row r="34" spans="1:4" ht="10.5">
      <c r="A34" s="402" t="s">
        <v>396</v>
      </c>
      <c r="B34" s="405">
        <v>-55332</v>
      </c>
      <c r="C34" s="405">
        <v>-48639</v>
      </c>
      <c r="D34" s="405">
        <f t="shared" si="1"/>
        <v>-6693</v>
      </c>
    </row>
    <row r="35" spans="1:4" ht="10.5">
      <c r="A35" s="402" t="s">
        <v>397</v>
      </c>
      <c r="B35" s="405"/>
      <c r="C35" s="405">
        <v>-160</v>
      </c>
      <c r="D35" s="405">
        <f>+B35-C35</f>
        <v>160</v>
      </c>
    </row>
    <row r="36" spans="1:4" ht="10.5">
      <c r="A36" s="402" t="s">
        <v>398</v>
      </c>
      <c r="B36" s="405">
        <v>40</v>
      </c>
      <c r="C36" s="405">
        <v>515</v>
      </c>
      <c r="D36" s="405">
        <f t="shared" si="1"/>
        <v>-475</v>
      </c>
    </row>
    <row r="37" spans="1:4" ht="10.5">
      <c r="A37" s="402" t="s">
        <v>399</v>
      </c>
      <c r="B37" s="405">
        <v>20</v>
      </c>
      <c r="C37" s="405">
        <f>59+8</f>
        <v>67</v>
      </c>
      <c r="D37" s="405">
        <f t="shared" si="1"/>
        <v>-47</v>
      </c>
    </row>
    <row r="38" spans="1:4" ht="10.5">
      <c r="A38" s="402" t="s">
        <v>400</v>
      </c>
      <c r="B38" s="405">
        <v>-86</v>
      </c>
      <c r="C38" s="405">
        <v>9897</v>
      </c>
      <c r="D38" s="405">
        <f t="shared" si="1"/>
        <v>-9983</v>
      </c>
    </row>
    <row r="39" spans="1:4" ht="10.5">
      <c r="A39" s="402" t="s">
        <v>401</v>
      </c>
      <c r="B39" s="405">
        <v>-6524</v>
      </c>
      <c r="C39" s="405">
        <f>-11841</f>
        <v>-11841</v>
      </c>
      <c r="D39" s="405">
        <f t="shared" si="1"/>
        <v>5317</v>
      </c>
    </row>
    <row r="40" spans="1:4" ht="10.5">
      <c r="A40" s="402" t="s">
        <v>402</v>
      </c>
      <c r="B40" s="405">
        <v>2271</v>
      </c>
      <c r="C40" s="405">
        <v>9349</v>
      </c>
      <c r="D40" s="405">
        <f>+B40-C40</f>
        <v>-7078</v>
      </c>
    </row>
    <row r="41" spans="1:4" ht="10.5">
      <c r="A41" s="402" t="s">
        <v>403</v>
      </c>
      <c r="B41" s="405"/>
      <c r="C41" s="405">
        <v>-55</v>
      </c>
      <c r="D41" s="405">
        <f t="shared" si="1"/>
        <v>55</v>
      </c>
    </row>
    <row r="42" spans="1:4" ht="10.5">
      <c r="A42" s="409" t="s">
        <v>404</v>
      </c>
      <c r="B42" s="410">
        <f>SUM(B32:B41)</f>
        <v>-94111</v>
      </c>
      <c r="C42" s="410">
        <f>SUM(C32:C41)</f>
        <v>-76453</v>
      </c>
      <c r="D42" s="410">
        <f>SUM(D32:D41)</f>
        <v>-17658</v>
      </c>
    </row>
    <row r="43" spans="2:4" ht="10.5">
      <c r="B43" s="405"/>
      <c r="C43" s="405"/>
      <c r="D43" s="405"/>
    </row>
    <row r="44" spans="1:4" ht="10.5">
      <c r="A44" s="403" t="s">
        <v>405</v>
      </c>
      <c r="B44" s="405"/>
      <c r="C44" s="405"/>
      <c r="D44" s="405"/>
    </row>
    <row r="45" spans="1:4" ht="10.5">
      <c r="A45" s="402" t="s">
        <v>406</v>
      </c>
      <c r="B45" s="405">
        <v>6264</v>
      </c>
      <c r="C45" s="405">
        <v>16804</v>
      </c>
      <c r="D45" s="405">
        <f aca="true" t="shared" si="2" ref="D45:D51">+B45-C45</f>
        <v>-10540</v>
      </c>
    </row>
    <row r="46" spans="1:4" ht="10.5">
      <c r="A46" s="402" t="s">
        <v>407</v>
      </c>
      <c r="B46" s="405">
        <v>-26830</v>
      </c>
      <c r="C46" s="405"/>
      <c r="D46" s="405">
        <f t="shared" si="2"/>
        <v>-26830</v>
      </c>
    </row>
    <row r="47" spans="1:4" ht="10.5">
      <c r="A47" s="402" t="s">
        <v>408</v>
      </c>
      <c r="B47" s="405">
        <v>-11881</v>
      </c>
      <c r="C47" s="405"/>
      <c r="D47" s="405">
        <f t="shared" si="2"/>
        <v>-11881</v>
      </c>
    </row>
    <row r="48" spans="1:4" ht="10.5">
      <c r="A48" s="402" t="s">
        <v>409</v>
      </c>
      <c r="B48" s="405">
        <v>26145</v>
      </c>
      <c r="C48" s="405">
        <v>1352</v>
      </c>
      <c r="D48" s="405">
        <f t="shared" si="2"/>
        <v>24793</v>
      </c>
    </row>
    <row r="49" spans="1:4" ht="10.5">
      <c r="A49" s="402" t="s">
        <v>410</v>
      </c>
      <c r="B49" s="405">
        <v>-39636</v>
      </c>
      <c r="C49" s="408">
        <v>-66072</v>
      </c>
      <c r="D49" s="405">
        <f t="shared" si="2"/>
        <v>26436</v>
      </c>
    </row>
    <row r="50" spans="1:4" ht="10.5">
      <c r="A50" s="402" t="s">
        <v>411</v>
      </c>
      <c r="B50" s="405">
        <v>14</v>
      </c>
      <c r="C50" s="405"/>
      <c r="D50" s="405">
        <f t="shared" si="2"/>
        <v>14</v>
      </c>
    </row>
    <row r="51" spans="1:4" ht="10.5">
      <c r="A51" s="402" t="s">
        <v>412</v>
      </c>
      <c r="B51" s="405">
        <v>-943</v>
      </c>
      <c r="C51" s="405">
        <v>-918</v>
      </c>
      <c r="D51" s="405">
        <f t="shared" si="2"/>
        <v>-25</v>
      </c>
    </row>
    <row r="52" spans="1:4" ht="10.5">
      <c r="A52" s="409" t="s">
        <v>413</v>
      </c>
      <c r="B52" s="410">
        <f>SUM(B45:B51)</f>
        <v>-46867</v>
      </c>
      <c r="C52" s="410">
        <f>SUM(C45:C51)</f>
        <v>-48834</v>
      </c>
      <c r="D52" s="410">
        <f>SUM(D45:D51)</f>
        <v>1967</v>
      </c>
    </row>
    <row r="53" spans="2:4" ht="10.5">
      <c r="B53" s="405"/>
      <c r="C53" s="405"/>
      <c r="D53" s="405"/>
    </row>
    <row r="54" spans="1:4" ht="10.5">
      <c r="A54" s="399" t="s">
        <v>414</v>
      </c>
      <c r="B54" s="410">
        <f>+B52+B42+B29</f>
        <v>27445</v>
      </c>
      <c r="C54" s="410">
        <f>+C52+C42+C29</f>
        <v>35021</v>
      </c>
      <c r="D54" s="410">
        <f>+D52+D42+D29</f>
        <v>-7576</v>
      </c>
    </row>
    <row r="55" spans="1:4" ht="10.5">
      <c r="A55" s="399"/>
      <c r="B55" s="410"/>
      <c r="C55" s="410"/>
      <c r="D55" s="410"/>
    </row>
    <row r="56" spans="1:4" ht="10.5">
      <c r="A56" s="409" t="s">
        <v>415</v>
      </c>
      <c r="B56" s="410">
        <v>66639</v>
      </c>
      <c r="C56" s="410">
        <v>30655</v>
      </c>
      <c r="D56" s="410">
        <f>+B56-C56</f>
        <v>35984</v>
      </c>
    </row>
    <row r="57" spans="1:4" ht="10.5">
      <c r="A57" s="402" t="s">
        <v>416</v>
      </c>
      <c r="B57" s="405">
        <v>778</v>
      </c>
      <c r="C57" s="405">
        <v>963</v>
      </c>
      <c r="D57" s="405">
        <f>+B57-C57</f>
        <v>-185</v>
      </c>
    </row>
    <row r="58" spans="1:4" ht="10.5">
      <c r="A58" s="411" t="s">
        <v>417</v>
      </c>
      <c r="B58" s="410">
        <f>SUM(B54:B57)</f>
        <v>94862</v>
      </c>
      <c r="C58" s="410">
        <f>SUM(C54:C57)</f>
        <v>66639</v>
      </c>
      <c r="D58" s="410">
        <f>+B58-C58</f>
        <v>28223</v>
      </c>
    </row>
    <row r="63" ht="10.5">
      <c r="C63" s="40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2008-03-01T13:29:13Z</cp:lastPrinted>
  <dcterms:created xsi:type="dcterms:W3CDTF">2000-04-06T09:46:24Z</dcterms:created>
  <dcterms:modified xsi:type="dcterms:W3CDTF">2010-07-30T14:30:04Z</dcterms:modified>
  <cp:category/>
  <cp:version/>
  <cp:contentType/>
  <cp:contentStatus/>
</cp:coreProperties>
</file>